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7"/>
  <workbookPr codeName="ThisWorkbook" defaultThemeVersion="124226"/>
  <mc:AlternateContent xmlns:mc="http://schemas.openxmlformats.org/markup-compatibility/2006">
    <mc:Choice Requires="x15">
      <x15ac:absPath xmlns:x15ac="http://schemas.microsoft.com/office/spreadsheetml/2010/11/ac" url="N:\Private Developments\2024 Regulations\"/>
    </mc:Choice>
  </mc:AlternateContent>
  <xr:revisionPtr revIDLastSave="0" documentId="8_{8F2B0EF5-868B-4EF5-B3A9-8285BD8718F0}" xr6:coauthVersionLast="47" xr6:coauthVersionMax="47" xr10:uidLastSave="{00000000-0000-0000-0000-000000000000}"/>
  <bookViews>
    <workbookView xWindow="4575" yWindow="375" windowWidth="19995" windowHeight="14685" tabRatio="875" xr2:uid="{00000000-000D-0000-FFFF-FFFF00000000}"/>
  </bookViews>
  <sheets>
    <sheet name="COVER" sheetId="9" r:id="rId1"/>
    <sheet name="INDEX" sheetId="19" r:id="rId2"/>
    <sheet name="0.0 RELEASE RATE" sheetId="21" r:id="rId3"/>
    <sheet name="1.0 RATE CONTROL" sheetId="4" r:id="rId4"/>
    <sheet name="1.1 Dry Weather Flow" sheetId="6" r:id="rId5"/>
    <sheet name="1.2 BMPs-Rate Control Credit" sheetId="8" r:id="rId6"/>
    <sheet name="1.3 Restrictor Sizing" sheetId="22" r:id="rId7"/>
    <sheet name="2.0 VOLUME CONTROL" sheetId="1" r:id="rId8"/>
    <sheet name="2.1.1 Bioinfiltration" sheetId="11" r:id="rId9"/>
    <sheet name="2.1.2 Swales" sheetId="12" r:id="rId10"/>
    <sheet name="2.1.3 Green Roof" sheetId="13" r:id="rId11"/>
    <sheet name="2.1.4 Infiltration Vault" sheetId="14" r:id="rId12"/>
    <sheet name="2.1.5 Trees" sheetId="15" r:id="rId13"/>
    <sheet name="2.1.6 Permeable Pavement" sheetId="16" r:id="rId14"/>
    <sheet name="2.1.7.1 Roof Runoff Planters" sheetId="17" r:id="rId15"/>
    <sheet name="2.1.7.2 Roof Runoff Rain Barrel" sheetId="20" r:id="rId16"/>
    <sheet name="2.1.8 Filter Strips" sheetId="18" r:id="rId17"/>
    <sheet name="2.1.9 Oversized Detention" sheetId="7" r:id="rId18"/>
    <sheet name="2.1 BMP Volume Summary" sheetId="10" r:id="rId19"/>
    <sheet name="3.0 Sustainable Development" sheetId="24" r:id="rId20"/>
    <sheet name="3.1 Exceed Rate Control" sheetId="23" r:id="rId21"/>
    <sheet name="3.2 Exceed Volume Control" sheetId="25" r:id="rId22"/>
    <sheet name="IDF" sheetId="5" r:id="rId23"/>
  </sheets>
  <definedNames>
    <definedName name="_xlnm.Print_Area" localSheetId="2">'0.0 RELEASE RATE'!$B$1:$H$66</definedName>
    <definedName name="_xlnm.Print_Area" localSheetId="3">'1.0 RATE CONTROL'!$A$1:$I$95</definedName>
    <definedName name="_xlnm.Print_Area" localSheetId="4">'1.1 Dry Weather Flow'!$A$1:$F$44</definedName>
    <definedName name="_xlnm.Print_Area" localSheetId="6">'1.3 Restrictor Sizing'!$A$1:$I$54</definedName>
    <definedName name="_xlnm.Print_Area" localSheetId="7">'2.0 VOLUME CONTROL'!$A$1:$F$49</definedName>
    <definedName name="_xlnm.Print_Area" localSheetId="9">'2.1.2 Swales'!$B$8:$F$53</definedName>
    <definedName name="_xlnm.Print_Area" localSheetId="19">'3.0 Sustainable Development'!$A$1:$G$29</definedName>
    <definedName name="_xlnm.Print_Area" localSheetId="21">'3.2 Exceed Volume Control'!$A$1:$G$17</definedName>
    <definedName name="_xlnm.Print_Area" localSheetId="0">COVER!$A$1:$I$58</definedName>
    <definedName name="_xlnm.Print_Area" localSheetId="22">IDF!$A$1:$L$34</definedName>
    <definedName name="_xlnm.Print_Area" localSheetId="1">INDEX!$A$1:$I$53</definedName>
    <definedName name="solver_cvg" localSheetId="22" hidden="1">0.0001</definedName>
    <definedName name="solver_drv" localSheetId="22" hidden="1">1</definedName>
    <definedName name="solver_est" localSheetId="22" hidden="1">1</definedName>
    <definedName name="solver_itr" localSheetId="22" hidden="1">100</definedName>
    <definedName name="solver_lin" localSheetId="22" hidden="1">2</definedName>
    <definedName name="solver_neg" localSheetId="22" hidden="1">2</definedName>
    <definedName name="solver_num" localSheetId="22" hidden="1">0</definedName>
    <definedName name="solver_nwt" localSheetId="22" hidden="1">1</definedName>
    <definedName name="solver_opt" localSheetId="22" hidden="1">IDF!#REF!</definedName>
    <definedName name="solver_pre" localSheetId="22" hidden="1">0.000001</definedName>
    <definedName name="solver_scl" localSheetId="22" hidden="1">2</definedName>
    <definedName name="solver_sho" localSheetId="22" hidden="1">2</definedName>
    <definedName name="solver_tim" localSheetId="22" hidden="1">100</definedName>
    <definedName name="solver_tol" localSheetId="22" hidden="1">0.05</definedName>
    <definedName name="solver_typ" localSheetId="22" hidden="1">1</definedName>
    <definedName name="solver_val" localSheetId="22" hidden="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2" l="1"/>
  <c r="E20" i="22"/>
  <c r="F41" i="9"/>
  <c r="B6" i="5"/>
  <c r="B6" i="25"/>
  <c r="B6" i="23"/>
  <c r="B6" i="24"/>
  <c r="B6" i="10"/>
  <c r="B6" i="7"/>
  <c r="B6" i="18"/>
  <c r="B6" i="20"/>
  <c r="B6" i="17"/>
  <c r="B6" i="16"/>
  <c r="B6" i="15"/>
  <c r="B6" i="14"/>
  <c r="B6" i="13"/>
  <c r="B6" i="12"/>
  <c r="B6" i="11"/>
  <c r="B6" i="1"/>
  <c r="B6" i="22"/>
  <c r="B6" i="8"/>
  <c r="B6" i="6"/>
  <c r="B6" i="4"/>
  <c r="C6" i="21"/>
  <c r="F38" i="9"/>
  <c r="H26" i="24"/>
  <c r="E28" i="22"/>
  <c r="E49" i="22" s="1"/>
  <c r="B42" i="6"/>
  <c r="B43" i="6" s="1"/>
  <c r="F47" i="4"/>
  <c r="F46" i="4"/>
  <c r="F18" i="7"/>
  <c r="F18" i="23"/>
  <c r="F12" i="22"/>
  <c r="F11" i="22"/>
  <c r="B5" i="25"/>
  <c r="B4" i="25"/>
  <c r="F24" i="24"/>
  <c r="F23" i="24"/>
  <c r="F22" i="24"/>
  <c r="F27" i="24"/>
  <c r="F26" i="24"/>
  <c r="F25" i="24"/>
  <c r="H24" i="24"/>
  <c r="H23" i="24"/>
  <c r="H22" i="24"/>
  <c r="G27" i="24"/>
  <c r="G26" i="24"/>
  <c r="G25" i="24"/>
  <c r="G24" i="24"/>
  <c r="G23" i="24"/>
  <c r="G22" i="24"/>
  <c r="B5" i="24"/>
  <c r="B4" i="24"/>
  <c r="A45" i="23"/>
  <c r="A44" i="23"/>
  <c r="A43" i="23"/>
  <c r="A42" i="23"/>
  <c r="A41" i="23"/>
  <c r="A40" i="23"/>
  <c r="A39" i="23"/>
  <c r="A38" i="23"/>
  <c r="A37" i="23"/>
  <c r="A36" i="23"/>
  <c r="G26" i="23"/>
  <c r="G31" i="23" s="1"/>
  <c r="G32" i="23" s="1"/>
  <c r="G33" i="23" s="1"/>
  <c r="G34" i="23" s="1"/>
  <c r="G35" i="23" s="1"/>
  <c r="G36" i="23" s="1"/>
  <c r="G37" i="23" s="1"/>
  <c r="G38" i="23" s="1"/>
  <c r="G39" i="23" s="1"/>
  <c r="G40" i="23" s="1"/>
  <c r="G41" i="23" s="1"/>
  <c r="G42" i="23" s="1"/>
  <c r="G43" i="23" s="1"/>
  <c r="G44" i="23" s="1"/>
  <c r="G45" i="23" s="1"/>
  <c r="B5" i="23"/>
  <c r="B4" i="23"/>
  <c r="D48" i="9"/>
  <c r="A45" i="7"/>
  <c r="A44" i="7"/>
  <c r="A43" i="7"/>
  <c r="A42" i="7"/>
  <c r="A41" i="7"/>
  <c r="A40" i="7"/>
  <c r="A39" i="7"/>
  <c r="A38" i="7"/>
  <c r="A37" i="7"/>
  <c r="A36" i="7"/>
  <c r="A91" i="4"/>
  <c r="A90" i="4"/>
  <c r="A89" i="4"/>
  <c r="A88" i="4"/>
  <c r="A87" i="4"/>
  <c r="A86" i="4"/>
  <c r="A85" i="4"/>
  <c r="A84" i="4"/>
  <c r="A83" i="4"/>
  <c r="A82" i="4"/>
  <c r="L22" i="5"/>
  <c r="C35" i="23" s="1"/>
  <c r="L21" i="5"/>
  <c r="C80" i="4"/>
  <c r="L20" i="5"/>
  <c r="C79" i="4" s="1"/>
  <c r="L19" i="5"/>
  <c r="L18" i="5"/>
  <c r="C77" i="4" s="1"/>
  <c r="J22" i="5"/>
  <c r="J21" i="5"/>
  <c r="J20" i="5"/>
  <c r="J19" i="5"/>
  <c r="J18" i="5"/>
  <c r="H22" i="5"/>
  <c r="H21" i="5"/>
  <c r="H20" i="5"/>
  <c r="H19" i="5"/>
  <c r="H18" i="5"/>
  <c r="F22" i="5"/>
  <c r="F21" i="5"/>
  <c r="F20" i="5"/>
  <c r="F19" i="5"/>
  <c r="F18" i="5"/>
  <c r="D22" i="5"/>
  <c r="D21" i="5"/>
  <c r="D20" i="5"/>
  <c r="D19" i="5"/>
  <c r="D18" i="5"/>
  <c r="B32" i="5"/>
  <c r="J32" i="5" s="1"/>
  <c r="B31" i="5"/>
  <c r="D31" i="5" s="1"/>
  <c r="B30" i="5"/>
  <c r="F30" i="5" s="1"/>
  <c r="B29" i="5"/>
  <c r="D29" i="5" s="1"/>
  <c r="B28" i="5"/>
  <c r="L28" i="5" s="1"/>
  <c r="C87" i="4" s="1"/>
  <c r="B27" i="5"/>
  <c r="D27" i="5" s="1"/>
  <c r="B26" i="5"/>
  <c r="F26" i="5" s="1"/>
  <c r="B25" i="5"/>
  <c r="J25" i="5" s="1"/>
  <c r="B24" i="5"/>
  <c r="J24" i="5" s="1"/>
  <c r="B23" i="5"/>
  <c r="H23" i="5" s="1"/>
  <c r="F23" i="5"/>
  <c r="D41" i="1"/>
  <c r="D33" i="4"/>
  <c r="D34" i="4"/>
  <c r="D30" i="1"/>
  <c r="D31" i="1"/>
  <c r="D35" i="1" s="1"/>
  <c r="C48" i="1" s="1"/>
  <c r="E48" i="1" s="1"/>
  <c r="D40" i="1"/>
  <c r="E12" i="18"/>
  <c r="E28" i="18" s="1"/>
  <c r="E13" i="20"/>
  <c r="E32" i="20" s="1"/>
  <c r="E13" i="17"/>
  <c r="E35" i="17" s="1"/>
  <c r="E13" i="16"/>
  <c r="E32" i="16" s="1"/>
  <c r="E13" i="14"/>
  <c r="E33" i="14" s="1"/>
  <c r="E13" i="12"/>
  <c r="E48" i="12" s="1"/>
  <c r="C12" i="18"/>
  <c r="C13" i="20"/>
  <c r="C13" i="17"/>
  <c r="C13" i="16"/>
  <c r="C13" i="14"/>
  <c r="C13" i="12"/>
  <c r="E13" i="11"/>
  <c r="E35" i="11" s="1"/>
  <c r="C13" i="11"/>
  <c r="F31" i="8"/>
  <c r="G31" i="8" s="1"/>
  <c r="E26" i="16"/>
  <c r="E29" i="16" s="1"/>
  <c r="E33" i="16" s="1"/>
  <c r="D31" i="8"/>
  <c r="D49" i="8"/>
  <c r="G26" i="7"/>
  <c r="G31" i="7" s="1"/>
  <c r="G32" i="7" s="1"/>
  <c r="G33" i="7" s="1"/>
  <c r="G34" i="7" s="1"/>
  <c r="G35" i="7" s="1"/>
  <c r="G36" i="7" s="1"/>
  <c r="G37" i="7" s="1"/>
  <c r="G38" i="7" s="1"/>
  <c r="G39" i="7" s="1"/>
  <c r="G40" i="7" s="1"/>
  <c r="G41" i="7" s="1"/>
  <c r="G42" i="7" s="1"/>
  <c r="G43" i="7" s="1"/>
  <c r="G44" i="7" s="1"/>
  <c r="G45" i="7" s="1"/>
  <c r="C21" i="21"/>
  <c r="C23" i="21" s="1"/>
  <c r="C25" i="21" s="1"/>
  <c r="C28" i="21" s="1"/>
  <c r="C22" i="21"/>
  <c r="C37" i="21"/>
  <c r="E37" i="21" s="1"/>
  <c r="E40" i="21" s="1"/>
  <c r="E32" i="11"/>
  <c r="E36" i="11" s="1"/>
  <c r="E44" i="8"/>
  <c r="E45" i="8"/>
  <c r="E48" i="8"/>
  <c r="E49" i="8"/>
  <c r="F16" i="4"/>
  <c r="F25" i="4"/>
  <c r="F26" i="4"/>
  <c r="F27" i="4"/>
  <c r="D24" i="8"/>
  <c r="D25" i="8"/>
  <c r="D27" i="8"/>
  <c r="D29" i="8"/>
  <c r="D44" i="8"/>
  <c r="D45" i="8"/>
  <c r="D51" i="8" s="1"/>
  <c r="D30" i="4" s="1"/>
  <c r="D48" i="8"/>
  <c r="H14" i="15"/>
  <c r="I14" i="15" s="1"/>
  <c r="H13" i="15"/>
  <c r="I13" i="15" s="1"/>
  <c r="H12" i="15"/>
  <c r="I12" i="15" s="1"/>
  <c r="F45" i="4"/>
  <c r="E30" i="1"/>
  <c r="E31" i="1"/>
  <c r="E32" i="1"/>
  <c r="E33" i="1"/>
  <c r="B57" i="4"/>
  <c r="B56" i="4"/>
  <c r="B55" i="4"/>
  <c r="F51" i="4"/>
  <c r="A10" i="7"/>
  <c r="C18" i="21"/>
  <c r="E38" i="21"/>
  <c r="E39" i="21"/>
  <c r="D21" i="21"/>
  <c r="D23" i="21" s="1"/>
  <c r="D25" i="21" s="1"/>
  <c r="D28" i="21" s="1"/>
  <c r="E21" i="21"/>
  <c r="E23" i="21" s="1"/>
  <c r="E25" i="21" s="1"/>
  <c r="E28" i="21" s="1"/>
  <c r="F21" i="21"/>
  <c r="F23" i="21" s="1"/>
  <c r="F25" i="21" s="1"/>
  <c r="F28" i="21" s="1"/>
  <c r="G21" i="21"/>
  <c r="G23" i="21" s="1"/>
  <c r="G25" i="21" s="1"/>
  <c r="G28" i="21" s="1"/>
  <c r="H21" i="21"/>
  <c r="H23" i="21" s="1"/>
  <c r="H25" i="21" s="1"/>
  <c r="H28" i="21" s="1"/>
  <c r="F24" i="8"/>
  <c r="G24" i="8" s="1"/>
  <c r="F25" i="8"/>
  <c r="G25" i="8" s="1"/>
  <c r="F27" i="8"/>
  <c r="G27" i="8" s="1"/>
  <c r="F29" i="8"/>
  <c r="G29" i="8" s="1"/>
  <c r="E16" i="6"/>
  <c r="E17" i="6"/>
  <c r="E18" i="6"/>
  <c r="E19" i="6"/>
  <c r="E20" i="6"/>
  <c r="E21" i="6"/>
  <c r="E22" i="6"/>
  <c r="E23" i="6"/>
  <c r="E24" i="6"/>
  <c r="E25" i="6"/>
  <c r="E26" i="6"/>
  <c r="E27" i="6"/>
  <c r="E28" i="6"/>
  <c r="E29" i="6"/>
  <c r="G18" i="21"/>
  <c r="D18" i="21"/>
  <c r="D22" i="21"/>
  <c r="F18" i="21"/>
  <c r="H18" i="21"/>
  <c r="E18" i="21"/>
  <c r="G22" i="21"/>
  <c r="C49" i="21"/>
  <c r="E49" i="21" s="1"/>
  <c r="E50" i="21"/>
  <c r="E51" i="21"/>
  <c r="F37" i="21"/>
  <c r="H37" i="21" s="1"/>
  <c r="H38" i="21"/>
  <c r="H39" i="21"/>
  <c r="F49" i="21"/>
  <c r="H49" i="21" s="1"/>
  <c r="H51" i="21"/>
  <c r="H50" i="21"/>
  <c r="H22" i="21"/>
  <c r="E22" i="21"/>
  <c r="C43" i="21"/>
  <c r="E43" i="21" s="1"/>
  <c r="E46" i="21" s="1"/>
  <c r="E44" i="21"/>
  <c r="E45" i="21"/>
  <c r="F22" i="21"/>
  <c r="F43" i="21"/>
  <c r="H43" i="21" s="1"/>
  <c r="H44" i="21"/>
  <c r="H45" i="21"/>
  <c r="B5" i="22"/>
  <c r="B4" i="22"/>
  <c r="C5" i="21"/>
  <c r="C4" i="21"/>
  <c r="F50" i="4"/>
  <c r="B5" i="5"/>
  <c r="B5" i="10"/>
  <c r="B5" i="18"/>
  <c r="B5" i="20"/>
  <c r="B5" i="17"/>
  <c r="B5" i="16"/>
  <c r="B5" i="15"/>
  <c r="B5" i="14"/>
  <c r="B5" i="13"/>
  <c r="B5" i="12"/>
  <c r="B5" i="11"/>
  <c r="B5" i="1"/>
  <c r="B5" i="7"/>
  <c r="B5" i="8"/>
  <c r="B5" i="6"/>
  <c r="B4" i="5"/>
  <c r="B4" i="10"/>
  <c r="B4" i="18"/>
  <c r="B4" i="20"/>
  <c r="B4" i="17"/>
  <c r="B4" i="16"/>
  <c r="B4" i="15"/>
  <c r="B4" i="14"/>
  <c r="B4" i="13"/>
  <c r="B4" i="12"/>
  <c r="B4" i="11"/>
  <c r="B4" i="1"/>
  <c r="B4" i="7"/>
  <c r="B4" i="8"/>
  <c r="B4" i="6"/>
  <c r="B5" i="4"/>
  <c r="B4" i="4"/>
  <c r="F13" i="4"/>
  <c r="F22" i="4"/>
  <c r="F17" i="4"/>
  <c r="F24" i="4"/>
  <c r="F23" i="4"/>
  <c r="F14" i="4"/>
  <c r="F15" i="4"/>
  <c r="F18" i="4"/>
  <c r="F19" i="4"/>
  <c r="F20" i="4"/>
  <c r="F21" i="4"/>
  <c r="F28" i="4"/>
  <c r="F49" i="4"/>
  <c r="E24" i="8"/>
  <c r="E25" i="8"/>
  <c r="E27" i="8"/>
  <c r="E29" i="8"/>
  <c r="E33" i="8" s="1"/>
  <c r="E30" i="8"/>
  <c r="E31" i="8"/>
  <c r="A31" i="8"/>
  <c r="A29" i="8"/>
  <c r="A26" i="8"/>
  <c r="A25" i="8"/>
  <c r="A24" i="8"/>
  <c r="C34" i="7"/>
  <c r="D42" i="1"/>
  <c r="F33" i="1"/>
  <c r="F32" i="1"/>
  <c r="E36" i="12"/>
  <c r="E37" i="12" s="1"/>
  <c r="E35" i="12"/>
  <c r="E41" i="12"/>
  <c r="E50" i="12"/>
  <c r="E45" i="12"/>
  <c r="E51" i="12" s="1"/>
  <c r="E22" i="20"/>
  <c r="E29" i="20" s="1"/>
  <c r="E33" i="20" s="1"/>
  <c r="E28" i="20"/>
  <c r="E25" i="18"/>
  <c r="E29" i="18" s="1"/>
  <c r="E26" i="14"/>
  <c r="E30" i="14"/>
  <c r="E34" i="14" s="1"/>
  <c r="E25" i="17"/>
  <c r="E21" i="11"/>
  <c r="E23" i="12"/>
  <c r="E15" i="12"/>
  <c r="E16" i="12"/>
  <c r="E32" i="12"/>
  <c r="E33" i="12" s="1"/>
  <c r="E18" i="13"/>
  <c r="E21" i="14"/>
  <c r="E18" i="14"/>
  <c r="E21" i="16"/>
  <c r="E18" i="16"/>
  <c r="E20" i="17"/>
  <c r="E24" i="18"/>
  <c r="E18" i="18"/>
  <c r="L24" i="5"/>
  <c r="F31" i="5"/>
  <c r="H25" i="5"/>
  <c r="J26" i="5"/>
  <c r="L23" i="5"/>
  <c r="C36" i="23" s="1"/>
  <c r="L31" i="5"/>
  <c r="C44" i="23" s="1"/>
  <c r="F25" i="5"/>
  <c r="H26" i="5"/>
  <c r="H30" i="5"/>
  <c r="J23" i="5"/>
  <c r="J31" i="5"/>
  <c r="D25" i="5"/>
  <c r="L25" i="5"/>
  <c r="C84" i="4"/>
  <c r="D34" i="1"/>
  <c r="D19" i="23"/>
  <c r="F19" i="23"/>
  <c r="E35" i="1"/>
  <c r="D19" i="7"/>
  <c r="F19" i="7"/>
  <c r="C31" i="7"/>
  <c r="C34" i="23"/>
  <c r="F48" i="4"/>
  <c r="E63" i="4"/>
  <c r="C38" i="23"/>
  <c r="F29" i="5"/>
  <c r="L26" i="5"/>
  <c r="C39" i="23" s="1"/>
  <c r="C38" i="7" l="1"/>
  <c r="C37" i="7"/>
  <c r="L29" i="5"/>
  <c r="C42" i="23" s="1"/>
  <c r="H29" i="5"/>
  <c r="C81" i="4"/>
  <c r="C90" i="4"/>
  <c r="D23" i="5"/>
  <c r="D26" i="5"/>
  <c r="C35" i="7"/>
  <c r="J28" i="5"/>
  <c r="J29" i="5"/>
  <c r="C27" i="21"/>
  <c r="C57" i="21"/>
  <c r="J30" i="5"/>
  <c r="F24" i="5"/>
  <c r="F32" i="5"/>
  <c r="C82" i="4"/>
  <c r="E51" i="8"/>
  <c r="F30" i="4" s="1"/>
  <c r="C36" i="7"/>
  <c r="L30" i="5"/>
  <c r="H24" i="5"/>
  <c r="E30" i="6"/>
  <c r="C64" i="4" s="1"/>
  <c r="D38" i="4"/>
  <c r="H31" i="5"/>
  <c r="C32" i="7"/>
  <c r="G28" i="24"/>
  <c r="H28" i="24"/>
  <c r="A22" i="24" s="1"/>
  <c r="D30" i="5"/>
  <c r="E31" i="6"/>
  <c r="E30" i="18"/>
  <c r="C23" i="10" s="1"/>
  <c r="G57" i="21"/>
  <c r="G27" i="21"/>
  <c r="H32" i="5"/>
  <c r="H46" i="21"/>
  <c r="E35" i="14"/>
  <c r="C18" i="10" s="1"/>
  <c r="D32" i="5"/>
  <c r="C44" i="7"/>
  <c r="L32" i="5"/>
  <c r="C45" i="7" s="1"/>
  <c r="C33" i="7"/>
  <c r="D28" i="5"/>
  <c r="H52" i="21"/>
  <c r="E37" i="11"/>
  <c r="C15" i="10" s="1"/>
  <c r="F27" i="5"/>
  <c r="C78" i="4"/>
  <c r="E34" i="20"/>
  <c r="C22" i="10" s="1"/>
  <c r="C47" i="1"/>
  <c r="D33" i="8"/>
  <c r="D29" i="4" s="1"/>
  <c r="D35" i="4" s="1"/>
  <c r="J27" i="5"/>
  <c r="H28" i="5"/>
  <c r="H40" i="21"/>
  <c r="C85" i="4"/>
  <c r="C33" i="23"/>
  <c r="H27" i="5"/>
  <c r="L27" i="5"/>
  <c r="D24" i="5"/>
  <c r="E52" i="21"/>
  <c r="E34" i="16"/>
  <c r="C20" i="10" s="1"/>
  <c r="E42" i="22"/>
  <c r="C26" i="21"/>
  <c r="F28" i="5"/>
  <c r="C32" i="23"/>
  <c r="D27" i="21"/>
  <c r="D57" i="21"/>
  <c r="H27" i="21"/>
  <c r="H57" i="21"/>
  <c r="C89" i="4"/>
  <c r="C43" i="7"/>
  <c r="C43" i="23"/>
  <c r="F57" i="21"/>
  <c r="F27" i="21"/>
  <c r="C39" i="7"/>
  <c r="C83" i="4"/>
  <c r="G33" i="8"/>
  <c r="C65" i="4" s="1"/>
  <c r="E65" i="4" s="1"/>
  <c r="E27" i="21"/>
  <c r="E57" i="21"/>
  <c r="C41" i="23"/>
  <c r="C41" i="7"/>
  <c r="E32" i="17"/>
  <c r="E31" i="17"/>
  <c r="C91" i="4"/>
  <c r="C42" i="7"/>
  <c r="C88" i="4"/>
  <c r="D16" i="23"/>
  <c r="D15" i="25"/>
  <c r="E38" i="12"/>
  <c r="E49" i="12" s="1"/>
  <c r="E52" i="12" s="1"/>
  <c r="E53" i="12" s="1"/>
  <c r="C16" i="10" s="1"/>
  <c r="C45" i="23"/>
  <c r="E34" i="1"/>
  <c r="F34" i="1" s="1"/>
  <c r="C37" i="23"/>
  <c r="C31" i="23"/>
  <c r="E36" i="17" l="1"/>
  <c r="E37" i="17" s="1"/>
  <c r="C21" i="10" s="1"/>
  <c r="E59" i="21"/>
  <c r="E66" i="21" s="1"/>
  <c r="C40" i="7"/>
  <c r="C86" i="4"/>
  <c r="C40" i="23"/>
  <c r="C26" i="10"/>
  <c r="D16" i="7"/>
  <c r="D14" i="25"/>
  <c r="D36" i="4"/>
  <c r="D39" i="4"/>
  <c r="B77" i="4" s="1"/>
  <c r="D16" i="25"/>
  <c r="F15" i="25"/>
  <c r="D17" i="23"/>
  <c r="F16" i="23"/>
  <c r="C24" i="10"/>
  <c r="D24" i="10" l="1"/>
  <c r="B31" i="23"/>
  <c r="B78" i="4"/>
  <c r="B31" i="7"/>
  <c r="F36" i="4"/>
  <c r="D77" i="4"/>
  <c r="D37" i="4"/>
  <c r="D78" i="4" l="1"/>
  <c r="D79" i="4" s="1"/>
  <c r="D80" i="4" s="1"/>
  <c r="D81" i="4" s="1"/>
  <c r="D82" i="4" s="1"/>
  <c r="D83" i="4" s="1"/>
  <c r="D84" i="4" s="1"/>
  <c r="D85" i="4" s="1"/>
  <c r="D86" i="4" s="1"/>
  <c r="D87" i="4" s="1"/>
  <c r="D88" i="4" s="1"/>
  <c r="D89" i="4" s="1"/>
  <c r="D90" i="4" s="1"/>
  <c r="D91" i="4" s="1"/>
  <c r="D31" i="7"/>
  <c r="D32" i="7" s="1"/>
  <c r="D33" i="7" s="1"/>
  <c r="D34" i="7" s="1"/>
  <c r="D35" i="7" s="1"/>
  <c r="D36" i="7" s="1"/>
  <c r="D37" i="7" s="1"/>
  <c r="D38" i="7" s="1"/>
  <c r="D39" i="7" s="1"/>
  <c r="D40" i="7" s="1"/>
  <c r="D41" i="7" s="1"/>
  <c r="D42" i="7" s="1"/>
  <c r="D43" i="7" s="1"/>
  <c r="D44" i="7" s="1"/>
  <c r="D45" i="7" s="1"/>
  <c r="D31" i="23"/>
  <c r="D32" i="23" s="1"/>
  <c r="D33" i="23" s="1"/>
  <c r="D34" i="23" s="1"/>
  <c r="D35" i="23" s="1"/>
  <c r="D36" i="23" s="1"/>
  <c r="D37" i="23" s="1"/>
  <c r="D38" i="23" s="1"/>
  <c r="D39" i="23" s="1"/>
  <c r="D40" i="23" s="1"/>
  <c r="D41" i="23" s="1"/>
  <c r="D42" i="23" s="1"/>
  <c r="D43" i="23" s="1"/>
  <c r="D44" i="23" s="1"/>
  <c r="D45" i="23" s="1"/>
  <c r="E77" i="4"/>
  <c r="B32" i="7"/>
  <c r="E31" i="7"/>
  <c r="B79" i="4"/>
  <c r="E78" i="4"/>
  <c r="F37" i="4"/>
  <c r="G63" i="4"/>
  <c r="C63" i="4" s="1"/>
  <c r="E31" i="23"/>
  <c r="B32" i="23"/>
  <c r="E32" i="23" l="1"/>
  <c r="B33" i="23"/>
  <c r="H31" i="7"/>
  <c r="I31" i="7" s="1"/>
  <c r="F31" i="7"/>
  <c r="H31" i="23"/>
  <c r="I31" i="23" s="1"/>
  <c r="F31" i="23"/>
  <c r="B33" i="7"/>
  <c r="E32" i="7"/>
  <c r="E64" i="4"/>
  <c r="C66" i="4"/>
  <c r="G72" i="4" s="1"/>
  <c r="F77" i="4"/>
  <c r="F78" i="4"/>
  <c r="B80" i="4"/>
  <c r="E79" i="4"/>
  <c r="F79" i="4" l="1"/>
  <c r="B81" i="4"/>
  <c r="E80" i="4"/>
  <c r="D14" i="7"/>
  <c r="G77" i="4"/>
  <c r="E19" i="22"/>
  <c r="E22" i="22" s="1"/>
  <c r="E40" i="22" s="1"/>
  <c r="E44" i="22" s="1"/>
  <c r="B45" i="22" s="1"/>
  <c r="D14" i="23"/>
  <c r="F32" i="7"/>
  <c r="H32" i="7"/>
  <c r="I32" i="7" s="1"/>
  <c r="E33" i="23"/>
  <c r="B34" i="23"/>
  <c r="B34" i="7"/>
  <c r="E33" i="7"/>
  <c r="F32" i="23"/>
  <c r="H32" i="23"/>
  <c r="I32" i="23" s="1"/>
  <c r="F33" i="7" l="1"/>
  <c r="H33" i="7"/>
  <c r="I33" i="7" s="1"/>
  <c r="E81" i="4"/>
  <c r="B82" i="4"/>
  <c r="F80" i="4"/>
  <c r="E50" i="22"/>
  <c r="B51" i="22"/>
  <c r="B52" i="22" s="1"/>
  <c r="B53" i="22" s="1"/>
  <c r="E34" i="7"/>
  <c r="B35" i="7"/>
  <c r="B35" i="23"/>
  <c r="E34" i="23"/>
  <c r="H33" i="23"/>
  <c r="I33" i="23" s="1"/>
  <c r="F33" i="23"/>
  <c r="G78" i="4"/>
  <c r="H77" i="4"/>
  <c r="I77" i="4" s="1"/>
  <c r="B36" i="23" l="1"/>
  <c r="E35" i="23"/>
  <c r="E35" i="7"/>
  <c r="B36" i="7"/>
  <c r="B83" i="4"/>
  <c r="E82" i="4"/>
  <c r="G79" i="4"/>
  <c r="H78" i="4"/>
  <c r="I78" i="4" s="1"/>
  <c r="H34" i="7"/>
  <c r="I34" i="7" s="1"/>
  <c r="F34" i="7"/>
  <c r="F81" i="4"/>
  <c r="H34" i="23"/>
  <c r="I34" i="23" s="1"/>
  <c r="F34" i="23"/>
  <c r="F35" i="7" l="1"/>
  <c r="H35" i="7"/>
  <c r="I35" i="7" s="1"/>
  <c r="E83" i="4"/>
  <c r="B84" i="4"/>
  <c r="E36" i="7"/>
  <c r="B37" i="7"/>
  <c r="G80" i="4"/>
  <c r="H79" i="4"/>
  <c r="I79" i="4" s="1"/>
  <c r="H35" i="23"/>
  <c r="I35" i="23" s="1"/>
  <c r="F35" i="23"/>
  <c r="F82" i="4"/>
  <c r="B37" i="23"/>
  <c r="E36" i="23"/>
  <c r="E84" i="4" l="1"/>
  <c r="B85" i="4"/>
  <c r="F83" i="4"/>
  <c r="H36" i="23"/>
  <c r="I36" i="23" s="1"/>
  <c r="F36" i="23"/>
  <c r="B38" i="23"/>
  <c r="E37" i="23"/>
  <c r="G81" i="4"/>
  <c r="H80" i="4"/>
  <c r="I80" i="4" s="1"/>
  <c r="E37" i="7"/>
  <c r="B38" i="7"/>
  <c r="F36" i="7"/>
  <c r="H36" i="7"/>
  <c r="I36" i="7" s="1"/>
  <c r="H37" i="7" l="1"/>
  <c r="I37" i="7" s="1"/>
  <c r="F37" i="7"/>
  <c r="G82" i="4"/>
  <c r="H81" i="4"/>
  <c r="I81" i="4" s="1"/>
  <c r="H37" i="23"/>
  <c r="I37" i="23" s="1"/>
  <c r="F37" i="23"/>
  <c r="E85" i="4"/>
  <c r="B86" i="4"/>
  <c r="E38" i="23"/>
  <c r="B39" i="23"/>
  <c r="F84" i="4"/>
  <c r="B39" i="7"/>
  <c r="E38" i="7"/>
  <c r="E39" i="23" l="1"/>
  <c r="B40" i="23"/>
  <c r="H38" i="23"/>
  <c r="I38" i="23" s="1"/>
  <c r="F38" i="23"/>
  <c r="G83" i="4"/>
  <c r="H82" i="4"/>
  <c r="I82" i="4" s="1"/>
  <c r="H38" i="7"/>
  <c r="I38" i="7" s="1"/>
  <c r="F38" i="7"/>
  <c r="E86" i="4"/>
  <c r="B87" i="4"/>
  <c r="B40" i="7"/>
  <c r="E39" i="7"/>
  <c r="F85" i="4"/>
  <c r="H39" i="7" l="1"/>
  <c r="I39" i="7" s="1"/>
  <c r="F39" i="7"/>
  <c r="B41" i="7"/>
  <c r="E40" i="7"/>
  <c r="G84" i="4"/>
  <c r="H83" i="4"/>
  <c r="I83" i="4" s="1"/>
  <c r="E87" i="4"/>
  <c r="B88" i="4"/>
  <c r="F86" i="4"/>
  <c r="B41" i="23"/>
  <c r="E40" i="23"/>
  <c r="H39" i="23"/>
  <c r="I39" i="23" s="1"/>
  <c r="F39" i="23"/>
  <c r="F40" i="23" l="1"/>
  <c r="H40" i="23"/>
  <c r="I40" i="23" s="1"/>
  <c r="B42" i="23"/>
  <c r="E41" i="23"/>
  <c r="G85" i="4"/>
  <c r="H84" i="4"/>
  <c r="I84" i="4" s="1"/>
  <c r="F40" i="7"/>
  <c r="H40" i="7"/>
  <c r="I40" i="7" s="1"/>
  <c r="B42" i="7"/>
  <c r="E41" i="7"/>
  <c r="B89" i="4"/>
  <c r="E88" i="4"/>
  <c r="F87" i="4"/>
  <c r="H41" i="7" l="1"/>
  <c r="I41" i="7" s="1"/>
  <c r="F41" i="7"/>
  <c r="F88" i="4"/>
  <c r="E89" i="4"/>
  <c r="B90" i="4"/>
  <c r="G86" i="4"/>
  <c r="H85" i="4"/>
  <c r="I85" i="4" s="1"/>
  <c r="F41" i="23"/>
  <c r="H41" i="23"/>
  <c r="I41" i="23" s="1"/>
  <c r="E42" i="7"/>
  <c r="B43" i="7"/>
  <c r="E42" i="23"/>
  <c r="B43" i="23"/>
  <c r="F89" i="4" l="1"/>
  <c r="B44" i="7"/>
  <c r="E43" i="7"/>
  <c r="E90" i="4"/>
  <c r="B91" i="4"/>
  <c r="E91" i="4" s="1"/>
  <c r="F42" i="7"/>
  <c r="H42" i="7"/>
  <c r="I42" i="7" s="1"/>
  <c r="E43" i="23"/>
  <c r="B44" i="23"/>
  <c r="H42" i="23"/>
  <c r="I42" i="23" s="1"/>
  <c r="F42" i="23"/>
  <c r="G87" i="4"/>
  <c r="H86" i="4"/>
  <c r="I86" i="4" s="1"/>
  <c r="E44" i="7" l="1"/>
  <c r="B45" i="7"/>
  <c r="E45" i="7" s="1"/>
  <c r="F91" i="4"/>
  <c r="F90" i="4"/>
  <c r="B45" i="23"/>
  <c r="E45" i="23" s="1"/>
  <c r="E44" i="23"/>
  <c r="F43" i="7"/>
  <c r="H43" i="7"/>
  <c r="I43" i="7" s="1"/>
  <c r="H43" i="23"/>
  <c r="I43" i="23" s="1"/>
  <c r="F43" i="23"/>
  <c r="G88" i="4"/>
  <c r="H87" i="4"/>
  <c r="I87" i="4" s="1"/>
  <c r="F44" i="23" l="1"/>
  <c r="H44" i="23"/>
  <c r="I44" i="23" s="1"/>
  <c r="H45" i="7"/>
  <c r="I45" i="7" s="1"/>
  <c r="F45" i="7"/>
  <c r="G89" i="4"/>
  <c r="H88" i="4"/>
  <c r="I88" i="4" s="1"/>
  <c r="H45" i="23"/>
  <c r="I45" i="23" s="1"/>
  <c r="F45" i="23"/>
  <c r="H44" i="7"/>
  <c r="I44" i="7" s="1"/>
  <c r="F44" i="7"/>
  <c r="I46" i="7" l="1"/>
  <c r="G90" i="4"/>
  <c r="H89" i="4"/>
  <c r="I89" i="4" s="1"/>
  <c r="I46" i="23"/>
  <c r="G91" i="4" l="1"/>
  <c r="H91" i="4" s="1"/>
  <c r="I91" i="4" s="1"/>
  <c r="H90" i="4"/>
  <c r="I90" i="4" s="1"/>
  <c r="I92" i="4" l="1"/>
  <c r="C67" i="4" s="1"/>
  <c r="D15" i="7" l="1"/>
  <c r="D17" i="7" s="1"/>
  <c r="D1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 Wickenkamp</author>
  </authors>
  <commentList>
    <comment ref="C58" authorId="0" shapeId="0" xr:uid="{00000000-0006-0000-0000-000001000000}">
      <text>
        <r>
          <rPr>
            <b/>
            <sz val="8"/>
            <color indexed="81"/>
            <rFont val="Tahoma"/>
          </rPr>
          <t>When red triangle in upper right corner of cell is present, comment will appear when cursor is held over box.</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Jeff Wickenkamp</author>
  </authors>
  <commentList>
    <comment ref="E21" authorId="0" shapeId="0" xr:uid="{00000000-0006-0000-1000-000001000000}">
      <text>
        <r>
          <rPr>
            <sz val="8"/>
            <color indexed="81"/>
            <rFont val="Tahoma"/>
            <family val="2"/>
          </rPr>
          <t>Must be 20% or greater than DA Flowpath</t>
        </r>
      </text>
    </comment>
    <comment ref="E24" authorId="0" shapeId="0" xr:uid="{00000000-0006-0000-1000-000002000000}">
      <text>
        <r>
          <rPr>
            <sz val="8"/>
            <color indexed="81"/>
            <rFont val="Tahoma"/>
            <family val="2"/>
          </rPr>
          <t>Flowpath length to filter strip must be equivalent to 75 feet or less.  If not uniformly sloping, or if concentrated discharge such as roof runoff is being discharged, level spreader is required.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Jeff Wickenkamp</author>
  </authors>
  <commentList>
    <comment ref="G26" authorId="0" shapeId="0" xr:uid="{00000000-0006-0000-1100-000001000000}">
      <text>
        <r>
          <rPr>
            <sz val="8"/>
            <color indexed="81"/>
            <rFont val="Tahoma"/>
            <family val="2"/>
          </rPr>
          <t>Uses Value entered in Cell D18</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Jeff Wickenkamp</author>
  </authors>
  <commentList>
    <comment ref="C17" authorId="0" shapeId="0" xr:uid="{00000000-0006-0000-1200-000001000000}">
      <text>
        <r>
          <rPr>
            <sz val="8"/>
            <color indexed="81"/>
            <rFont val="Tahoma"/>
            <family val="2"/>
          </rPr>
          <t>Works to reduce effective impervious area, which reduced required storage. Not treated as storage itself.</t>
        </r>
      </text>
    </comment>
    <comment ref="C19" authorId="0" shapeId="0" xr:uid="{00000000-0006-0000-1200-000002000000}">
      <text>
        <r>
          <rPr>
            <sz val="8"/>
            <color indexed="81"/>
            <rFont val="Tahoma"/>
            <family val="2"/>
          </rPr>
          <t>Works to reduce effective impervious area, which reduced required storage. Not treated as storage itself.</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Jeff Wickenkamp</author>
  </authors>
  <commentList>
    <comment ref="G26" authorId="0" shapeId="0" xr:uid="{00000000-0006-0000-1400-000001000000}">
      <text>
        <r>
          <rPr>
            <sz val="8"/>
            <color indexed="81"/>
            <rFont val="Tahoma"/>
            <family val="2"/>
          </rPr>
          <t>Uses Value entered in Cell D18</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DC5700-XPPRO</author>
  </authors>
  <commentList>
    <comment ref="E64" authorId="0" shapeId="0" xr:uid="{00000000-0006-0000-0200-000001000000}">
      <text>
        <r>
          <rPr>
            <b/>
            <sz val="8"/>
            <color indexed="81"/>
            <rFont val="Tahoma"/>
            <charset val="1"/>
          </rPr>
          <t>DC5700-XPPRO:</t>
        </r>
        <r>
          <rPr>
            <sz val="8"/>
            <color indexed="81"/>
            <rFont val="Tahoma"/>
            <charset val="1"/>
          </rPr>
          <t xml:space="preserve">
Insert outlet sewer capacity from Outlet Sewer Capacity Map, Effective Jan 1, 2010 or latest revision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Jeff Wickenkamp</author>
    <author>DC5700-XPPRO</author>
    <author>Compaq Evo D510</author>
  </authors>
  <commentList>
    <comment ref="D13" authorId="0" shapeId="0" xr:uid="{00000000-0006-0000-0300-000001000000}">
      <text>
        <r>
          <rPr>
            <b/>
            <sz val="9"/>
            <color indexed="81"/>
            <rFont val="Tahoma"/>
            <family val="2"/>
          </rPr>
          <t>Submit geotechnical report to substantiate the presence of sandy soil</t>
        </r>
      </text>
    </comment>
    <comment ref="D14" authorId="0" shapeId="0" xr:uid="{00000000-0006-0000-0300-000002000000}">
      <text>
        <r>
          <rPr>
            <b/>
            <sz val="9"/>
            <color indexed="81"/>
            <rFont val="Tahoma"/>
            <family val="2"/>
          </rPr>
          <t>Submit geotechnical report to substantiate the presence of sandy soil</t>
        </r>
      </text>
    </comment>
    <comment ref="D15" authorId="0" shapeId="0" xr:uid="{00000000-0006-0000-0300-000003000000}">
      <text>
        <r>
          <rPr>
            <b/>
            <sz val="9"/>
            <color indexed="81"/>
            <rFont val="Tahoma"/>
            <family val="2"/>
          </rPr>
          <t>Submit geotechnical report to substantiate the presence of sandy soil</t>
        </r>
      </text>
    </comment>
    <comment ref="E23" authorId="1" shapeId="0" xr:uid="{00000000-0006-0000-0300-000004000000}">
      <text>
        <r>
          <rPr>
            <sz val="8"/>
            <color indexed="81"/>
            <rFont val="Tahoma"/>
          </rPr>
          <t xml:space="preserve">Green Roof C-Values=
0.5 for &lt;4" depth
0.3 for 4"-8" depth
0.2 for 9"-20" depth
0.1 for &gt;20" depth
</t>
        </r>
      </text>
    </comment>
    <comment ref="D27" authorId="2" shapeId="0" xr:uid="{00000000-0006-0000-0300-000005000000}">
      <text>
        <r>
          <rPr>
            <b/>
            <sz val="8"/>
            <color indexed="81"/>
            <rFont val="Tahoma"/>
            <charset val="1"/>
          </rPr>
          <t xml:space="preserve">Building sidewall area is counted as part of the site area for calculating required detention volume but is not counted toward the allowable release rate. </t>
        </r>
        <r>
          <rPr>
            <sz val="8"/>
            <color indexed="81"/>
            <rFont val="Tahoma"/>
            <charset val="1"/>
          </rPr>
          <t xml:space="preserve">
</t>
        </r>
      </text>
    </comment>
    <comment ref="D29" authorId="1" shapeId="0" xr:uid="{00000000-0006-0000-0300-000006000000}">
      <text>
        <r>
          <rPr>
            <b/>
            <sz val="8"/>
            <color indexed="81"/>
            <rFont val="Tahoma"/>
          </rPr>
          <t>From 1.2 BMPs - Rate Control Credit</t>
        </r>
      </text>
    </comment>
    <comment ref="E29" authorId="1" shapeId="0" xr:uid="{00000000-0006-0000-0300-000007000000}">
      <text>
        <r>
          <rPr>
            <sz val="8"/>
            <color indexed="81"/>
            <rFont val="Tahoma"/>
            <family val="2"/>
          </rPr>
          <t>Set to 1.0 for all BMPs except permeable pavement ( uses 0.95 due to interception on surface and in bedding that isn't credited on worksheet) because storage will be fully counted toward detention and surface is treated like a wet pond</t>
        </r>
      </text>
    </comment>
    <comment ref="D30" authorId="1" shapeId="0" xr:uid="{00000000-0006-0000-0300-000008000000}">
      <text>
        <r>
          <rPr>
            <b/>
            <sz val="8"/>
            <color indexed="81"/>
            <rFont val="Tahoma"/>
          </rPr>
          <t xml:space="preserve">From 1.2 BMPs - Rate Control Credit
</t>
        </r>
      </text>
    </comment>
    <comment ref="F30" authorId="1" shapeId="0" xr:uid="{00000000-0006-0000-0300-000009000000}">
      <text>
        <r>
          <rPr>
            <b/>
            <sz val="8"/>
            <color indexed="81"/>
            <rFont val="Tahoma"/>
          </rPr>
          <t xml:space="preserve">From 1.2 BMPs - Rate Control Credit
</t>
        </r>
      </text>
    </comment>
    <comment ref="D34" authorId="1" shapeId="0" xr:uid="{00000000-0006-0000-0300-00000A000000}">
      <text>
        <r>
          <rPr>
            <b/>
            <sz val="8"/>
            <color indexed="81"/>
            <rFont val="Tahoma"/>
          </rPr>
          <t>Does include building sidewalls.</t>
        </r>
      </text>
    </comment>
    <comment ref="D36" authorId="3" shapeId="0" xr:uid="{00000000-0006-0000-0300-00000B000000}">
      <text>
        <r>
          <rPr>
            <b/>
            <sz val="8"/>
            <color indexed="81"/>
            <rFont val="Tahoma"/>
            <family val="2"/>
          </rPr>
          <t>The combination of pervious area, impervious area, and BMP area should add up to the total site area.</t>
        </r>
      </text>
    </comment>
    <comment ref="D39" authorId="1" shapeId="0" xr:uid="{00000000-0006-0000-0300-00000C000000}">
      <text>
        <r>
          <rPr>
            <b/>
            <sz val="8"/>
            <color indexed="81"/>
            <rFont val="Tahoma"/>
          </rPr>
          <t>Accounts for BMPs with C-value of 1.0 (cells D29 and E29) or for BMPs providing storage (cells D30 and F30)
BMP C-value is limited to 0.10 minimum</t>
        </r>
      </text>
    </comment>
    <comment ref="E48" authorId="1" shapeId="0" xr:uid="{00000000-0006-0000-0300-00000D000000}">
      <text>
        <r>
          <rPr>
            <b/>
            <sz val="8"/>
            <color indexed="81"/>
            <rFont val="Tahoma"/>
          </rPr>
          <t>Do not answer this question (you can type "see Q1") if answer to Question 1 is yes and you intend to use release rate of 1 cfs/acre</t>
        </r>
        <r>
          <rPr>
            <sz val="8"/>
            <color indexed="81"/>
            <rFont val="Tahoma"/>
          </rPr>
          <t xml:space="preserve">
</t>
        </r>
      </text>
    </comment>
    <comment ref="C65" authorId="1" shapeId="0" xr:uid="{00000000-0006-0000-0300-00000E000000}">
      <text>
        <r>
          <rPr>
            <b/>
            <sz val="8"/>
            <color indexed="81"/>
            <rFont val="Tahoma"/>
          </rPr>
          <t>If infiltration rate is greater than 0, will be added to detention release rate for purposes of detention volume sizing</t>
        </r>
      </text>
    </comment>
    <comment ref="C66" authorId="1" shapeId="0" xr:uid="{00000000-0006-0000-0300-00000F000000}">
      <text>
        <r>
          <rPr>
            <b/>
            <sz val="8"/>
            <color indexed="81"/>
            <rFont val="Tahoma"/>
          </rPr>
          <t xml:space="preserve">This rate used below in Cell G73 to compute maximum required storage </t>
        </r>
      </text>
    </comment>
    <comment ref="C72" authorId="1" shapeId="0" xr:uid="{00000000-0006-0000-0300-000010000000}">
      <text>
        <r>
          <rPr>
            <b/>
            <sz val="8"/>
            <color indexed="81"/>
            <rFont val="Tahoma"/>
          </rPr>
          <t xml:space="preserve">User must enter appropriate design storm.  In most cases, the 100-year event will apply, but reduced standards apply to special cases such as lot-to-lot buildings and residential developments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Jeff Wickenkamp</author>
    <author xml:space="preserve"> </author>
    <author>Patrick Lach</author>
  </authors>
  <commentList>
    <comment ref="B22" authorId="0" shapeId="0" xr:uid="{00000000-0006-0000-0500-000001000000}">
      <text>
        <r>
          <rPr>
            <b/>
            <sz val="8"/>
            <color indexed="81"/>
            <rFont val="Tahoma"/>
          </rPr>
          <t>User will typically want to apply storage toward Rate Control Credit, so type yes here. In some cases if BMP is being used as a permeable surface (to meet impervious surface reduction requirement), then user may wish to treat solely as a permeable surface.  In that case enter "yes" in lower section (see line 41)  instead.</t>
        </r>
      </text>
    </comment>
    <comment ref="F22" authorId="0" shapeId="0" xr:uid="{00000000-0006-0000-0500-000002000000}">
      <text>
        <r>
          <rPr>
            <b/>
            <sz val="8"/>
            <color indexed="81"/>
            <rFont val="Tahoma"/>
          </rPr>
          <t>Infiltration rate must be as measured in field as explained in Stormwater Manual, Factor of Safety of 2 will be applied when providing credit toward detention release.</t>
        </r>
      </text>
    </comment>
    <comment ref="G22" authorId="1" shapeId="0" xr:uid="{00000000-0006-0000-0500-000003000000}">
      <text>
        <r>
          <rPr>
            <b/>
            <sz val="8"/>
            <color indexed="81"/>
            <rFont val="Tahoma"/>
          </rPr>
          <t>If Infiltration is below 0.5, then the allowable infiltration is set to zero.</t>
        </r>
        <r>
          <rPr>
            <sz val="8"/>
            <color indexed="81"/>
            <rFont val="Tahoma"/>
          </rPr>
          <t xml:space="preserve">
</t>
        </r>
      </text>
    </comment>
    <comment ref="D25" authorId="2" shapeId="0" xr:uid="{00000000-0006-0000-0500-000004000000}">
      <text>
        <r>
          <rPr>
            <b/>
            <sz val="8"/>
            <color indexed="81"/>
            <rFont val="Tahoma"/>
          </rPr>
          <t>This number comes from the Volume Control Spreadsheet which only accounts for storage up to a depth of 6-inches.
Storage above 6-inches under the design rate control event (i.e. 100-yr storm event) should be separately accounted for in Detention Storage calculations, if applicable.</t>
        </r>
        <r>
          <rPr>
            <sz val="8"/>
            <color indexed="81"/>
            <rFont val="Tahoma"/>
          </rPr>
          <t xml:space="preserve">
</t>
        </r>
      </text>
    </comment>
    <comment ref="D33" authorId="0" shapeId="0" xr:uid="{00000000-0006-0000-0500-000005000000}">
      <text>
        <r>
          <rPr>
            <b/>
            <sz val="8"/>
            <color indexed="81"/>
            <rFont val="Tahoma"/>
          </rPr>
          <t>Used in Rate Control Worksheet Cell D28</t>
        </r>
      </text>
    </comment>
    <comment ref="B42" authorId="0" shapeId="0" xr:uid="{00000000-0006-0000-0500-000006000000}">
      <text>
        <r>
          <rPr>
            <b/>
            <sz val="8"/>
            <color indexed="81"/>
            <rFont val="Tahoma"/>
          </rPr>
          <t xml:space="preserve">In some cases if BMP is being used as a permeable surface (to meet impervious surface reduction requirement), then user may wish to treat solely as a permeable surface.  In that case enter "yes" here instead of upper section. </t>
        </r>
      </text>
    </comment>
    <comment ref="D45" authorId="2" shapeId="0" xr:uid="{00000000-0006-0000-0500-000007000000}">
      <text>
        <r>
          <rPr>
            <b/>
            <sz val="8"/>
            <color indexed="81"/>
            <rFont val="Tahoma"/>
          </rPr>
          <t>This number comes from the Volume Control Spreadsheet which only accounts for storage up to a depth of 6-inches.
Storage above 6-inches under the design rate control event (i.e. 100-yr storm event) should be separately accounted for in Detention Storage calculations, if applicable.</t>
        </r>
        <r>
          <rPr>
            <sz val="8"/>
            <color indexed="81"/>
            <rFont val="Tahoma"/>
          </rPr>
          <t xml:space="preserve">
</t>
        </r>
      </text>
    </comment>
    <comment ref="D51" authorId="0" shapeId="0" xr:uid="{00000000-0006-0000-0500-000008000000}">
      <text>
        <r>
          <rPr>
            <b/>
            <sz val="8"/>
            <color indexed="81"/>
            <rFont val="Tahoma"/>
          </rPr>
          <t>Used in Rate Control Worksheet Cell D29</t>
        </r>
      </text>
    </comment>
    <comment ref="E51" authorId="0" shapeId="0" xr:uid="{00000000-0006-0000-0500-000009000000}">
      <text>
        <r>
          <rPr>
            <b/>
            <sz val="8"/>
            <color indexed="81"/>
            <rFont val="Tahoma"/>
          </rPr>
          <t xml:space="preserve">Used in Rate Control Worksheet Cell F29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Jeff Wickenkamp</author>
  </authors>
  <commentList>
    <comment ref="B17" authorId="0" shapeId="0" xr:uid="{00000000-0006-0000-0700-000001000000}">
      <text>
        <r>
          <rPr>
            <b/>
            <sz val="8"/>
            <color indexed="81"/>
            <rFont val="Tahoma"/>
          </rPr>
          <t>Tributary sidewalls are not required as part of volume control computations, thus, no space is allotted for its entry on this worksheet.</t>
        </r>
      </text>
    </comment>
    <comment ref="E19" authorId="0" shapeId="0" xr:uid="{00000000-0006-0000-0700-000002000000}">
      <text>
        <r>
          <rPr>
            <sz val="8"/>
            <color indexed="81"/>
            <rFont val="Tahoma"/>
            <family val="2"/>
          </rPr>
          <t>Roofs that discharge directly to waters may be ommitted from the volume control calculations.  Complete worksheet for remainder of site.</t>
        </r>
      </text>
    </comment>
    <comment ref="E21" authorId="0" shapeId="0" xr:uid="{00000000-0006-0000-0700-000003000000}">
      <text>
        <r>
          <rPr>
            <sz val="8"/>
            <color indexed="81"/>
            <rFont val="Tahoma"/>
            <family val="2"/>
          </rPr>
          <t>Green roof will be counted as pervious surface for reduction of site imperviousness.</t>
        </r>
      </text>
    </comment>
    <comment ref="E22" authorId="0" shapeId="0" xr:uid="{00000000-0006-0000-0700-000004000000}">
      <text>
        <r>
          <rPr>
            <sz val="8"/>
            <color indexed="81"/>
            <rFont val="Tahoma"/>
            <family val="2"/>
          </rPr>
          <t>Permeable paving can either be counted as pervious surface for reduction of site imperviousness, or included as an impervious surface in the calculation of required volume control storage. (See question 3 below)</t>
        </r>
      </text>
    </comment>
    <comment ref="E23" authorId="0" shapeId="0" xr:uid="{00000000-0006-0000-0700-000005000000}">
      <text>
        <r>
          <rPr>
            <sz val="8"/>
            <color indexed="81"/>
            <rFont val="Tahoma"/>
            <family val="2"/>
          </rPr>
          <t>Any area for stormwater trees entered here may be subtracted from the nearby impervious surface.  See Stormwater Trees Worksheet.</t>
        </r>
      </text>
    </comment>
    <comment ref="E35" authorId="0" shapeId="0" xr:uid="{00000000-0006-0000-0700-000006000000}">
      <text>
        <r>
          <rPr>
            <sz val="8"/>
            <color indexed="81"/>
            <rFont val="Tahoma"/>
            <family val="2"/>
          </rPr>
          <t>Compare with Cell C49 to see if requirements are met.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Jeff Wickenkamp</author>
    <author xml:space="preserve"> </author>
  </authors>
  <commentList>
    <comment ref="E16" authorId="0" shapeId="0" xr:uid="{00000000-0006-0000-0900-000001000000}">
      <text>
        <r>
          <rPr>
            <sz val="8"/>
            <color indexed="81"/>
            <rFont val="Tahoma"/>
            <family val="2"/>
          </rPr>
          <t>Includes 75% adjustment factor for use of 100-year C-value with 2-year design flow computation</t>
        </r>
      </text>
    </comment>
    <comment ref="E27" authorId="1" shapeId="0" xr:uid="{00000000-0006-0000-0900-000002000000}">
      <text>
        <r>
          <rPr>
            <b/>
            <sz val="8"/>
            <color indexed="81"/>
            <rFont val="Tahoma"/>
          </rPr>
          <t xml:space="preserve"> Ratio of Horizontal distance to Vertical change.
(i.e. 3 ft/ft has 3 ft of horizontal change to 1 ft of vertical change)</t>
        </r>
      </text>
    </comment>
    <comment ref="E30" authorId="0" shapeId="0" xr:uid="{00000000-0006-0000-0900-000003000000}">
      <text>
        <r>
          <rPr>
            <sz val="8"/>
            <color indexed="81"/>
            <rFont val="Tahoma"/>
            <family val="2"/>
          </rPr>
          <t xml:space="preserve">Use Manning's n = 
0.15 for depth of 0 to 4 inches
0.135 for depth of 5 inches
0.12 for depth of 6 inches
</t>
        </r>
      </text>
    </comment>
    <comment ref="E32" authorId="0" shapeId="0" xr:uid="{00000000-0006-0000-0900-000004000000}">
      <text>
        <r>
          <rPr>
            <sz val="8"/>
            <color indexed="81"/>
            <rFont val="Tahoma"/>
            <family val="2"/>
          </rPr>
          <t>Channel slope will need to be 1.6% or less to meet minimum velocity criteria at 6-inch depth. 
Computed flow must be equal to or greater than 2-year flow</t>
        </r>
      </text>
    </comment>
    <comment ref="E33" authorId="0" shapeId="0" xr:uid="{00000000-0006-0000-0900-000005000000}">
      <text>
        <r>
          <rPr>
            <b/>
            <sz val="8"/>
            <color indexed="81"/>
            <rFont val="Tahoma"/>
          </rPr>
          <t>Must be less than 1 ft/sec</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Jeff Wickenkamp</author>
  </authors>
  <commentList>
    <comment ref="E18" authorId="0" shapeId="0" xr:uid="{00000000-0006-0000-0A00-000001000000}">
      <text>
        <r>
          <rPr>
            <sz val="8"/>
            <color indexed="81"/>
            <rFont val="Tahoma"/>
          </rPr>
          <t>Override this factor if green roof is an irregular shape.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Jeff Wickenkamp</author>
  </authors>
  <commentList>
    <comment ref="I11" authorId="0" shapeId="0" xr:uid="{00000000-0006-0000-0C00-000001000000}">
      <text>
        <r>
          <rPr>
            <sz val="8"/>
            <color indexed="81"/>
            <rFont val="Tahoma"/>
            <family val="2"/>
          </rPr>
          <t>May use this new effective impervious area on the volume control spreadsheet</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Jeff Wickenkamp</author>
  </authors>
  <commentList>
    <comment ref="E13" authorId="0" shapeId="0" xr:uid="{00000000-0006-0000-0D00-000001000000}">
      <text>
        <r>
          <rPr>
            <sz val="8"/>
            <color indexed="81"/>
            <rFont val="Tahoma"/>
            <family val="2"/>
          </rPr>
          <t>On other BMP worksheets this calculation is performed to compute the total runoff from a 1-inch storm to the BMP including upstream pervious areas. Here it should only include impervious areas because pervious areas should not be routed to permeable pavement.</t>
        </r>
      </text>
    </comment>
  </commentList>
</comments>
</file>

<file path=xl/sharedStrings.xml><?xml version="1.0" encoding="utf-8"?>
<sst xmlns="http://schemas.openxmlformats.org/spreadsheetml/2006/main" count="1306" uniqueCount="620">
  <si>
    <t>Date:</t>
  </si>
  <si>
    <t>Rev. Date:</t>
  </si>
  <si>
    <t>City of Chicago</t>
  </si>
  <si>
    <t>Department of Water Management</t>
  </si>
  <si>
    <t>Stormwater Spreadsheet Tool</t>
  </si>
  <si>
    <t>Release 5.1 effective 02-01-2025</t>
  </si>
  <si>
    <t>1. DOB Tracking/Permit Number:</t>
  </si>
  <si>
    <t>2. Name of Project:</t>
  </si>
  <si>
    <t>3. Address of Site:</t>
  </si>
  <si>
    <t>Architect / Engineer of Record:</t>
  </si>
  <si>
    <t>Phone No.:</t>
  </si>
  <si>
    <t>4. Description of Proposed Work:</t>
  </si>
  <si>
    <t>5. Use of Building (if applicable):</t>
  </si>
  <si>
    <t>6. Sewer Altas &amp; Drain Atlas Referenced:</t>
  </si>
  <si>
    <t>7. Site Area:</t>
  </si>
  <si>
    <t>sq ft</t>
  </si>
  <si>
    <t>acres</t>
  </si>
  <si>
    <t>8. Project Area:</t>
  </si>
  <si>
    <t>9. Chicago Sustainable Development Policy:</t>
  </si>
  <si>
    <t>Does this project exceed the minimum requirements of the Stormwater Ordinance in order to comply with the Chicago Sustainable Develoment Policy?</t>
  </si>
  <si>
    <t>No</t>
  </si>
  <si>
    <t>(Answer Yes or No)</t>
  </si>
  <si>
    <t xml:space="preserve">This spreadsheet tool has been prepared to assist the applicant in preparing calculations </t>
  </si>
  <si>
    <t>for simple sites.  The applicant is responsible for ensuring that submitted calculations are</t>
  </si>
  <si>
    <t>correct.  If necessary, supporting hand calculations should be prepared and submitted.</t>
  </si>
  <si>
    <t>Color Coding</t>
  </si>
  <si>
    <t>- Cell Contents Computed by Spreadsheet</t>
  </si>
  <si>
    <t>- Cell for User Entry</t>
  </si>
  <si>
    <t>- Cell Includes Comment (when cursor is over it)</t>
  </si>
  <si>
    <t>INDEX OF SPREADSHEETS</t>
  </si>
  <si>
    <t>Required&gt;&gt;</t>
  </si>
  <si>
    <t>X</t>
  </si>
  <si>
    <t>COVER</t>
  </si>
  <si>
    <t>INDEX</t>
  </si>
  <si>
    <t>0.0 RELEASE RATE</t>
  </si>
  <si>
    <t>1.0 RATE CONTROL</t>
  </si>
  <si>
    <t>1.1 Dry Weather Flow</t>
  </si>
  <si>
    <t>1.2 BMPs-Rate Control Credit</t>
  </si>
  <si>
    <t>1.3 Restrictor Sizing</t>
  </si>
  <si>
    <t>2.0 VOLUME CONTROL</t>
  </si>
  <si>
    <t>2.1 BMP Volume Summary</t>
  </si>
  <si>
    <t>2.1.1 Bioinfiltration</t>
  </si>
  <si>
    <t>2.1.2 Drainage Swales</t>
  </si>
  <si>
    <t>2.1.3 Green Roof</t>
  </si>
  <si>
    <t>2.1.4 Infiltration Vault</t>
  </si>
  <si>
    <t>2.1.5 Trees</t>
  </si>
  <si>
    <t>2.1.6 Permeable Pavement</t>
  </si>
  <si>
    <t>2.1.7.1 Roof Runoff BMPs - Planter Boxes</t>
  </si>
  <si>
    <t>2.1.7.2 Roof Runoff BMPs - Rain Barrels / Cisterns</t>
  </si>
  <si>
    <t>2.1.8 Filter Strips</t>
  </si>
  <si>
    <t xml:space="preserve">   2.1.9 Oversized Detention</t>
  </si>
  <si>
    <t>3.0 SUSTAINABLE DEVELOPMENT POLICY</t>
  </si>
  <si>
    <t>3.1 Exceed Rate Control</t>
  </si>
  <si>
    <t>3.2 Exceed Volume Control</t>
  </si>
  <si>
    <t>Name of Project:</t>
  </si>
  <si>
    <t>Address:</t>
  </si>
  <si>
    <t>A/E of Record:</t>
  </si>
  <si>
    <t>0.0  Release Rate</t>
  </si>
  <si>
    <t>Step 1: Sewer Capacity of Each Sewer Segment</t>
  </si>
  <si>
    <t>Sewer Segment:</t>
  </si>
  <si>
    <t>Segment 1</t>
  </si>
  <si>
    <t>Segment 2</t>
  </si>
  <si>
    <t>Segment 3</t>
  </si>
  <si>
    <t>Segment 4</t>
  </si>
  <si>
    <t>Segment 5</t>
  </si>
  <si>
    <t>Segment 6</t>
  </si>
  <si>
    <t>Street Name:</t>
  </si>
  <si>
    <t>Upstream End (street name):</t>
  </si>
  <si>
    <t>Downstream End (street name):</t>
  </si>
  <si>
    <t>Upstream Invert (ft):</t>
  </si>
  <si>
    <t>Downstream Invert (ft):</t>
  </si>
  <si>
    <t>Pipe Segment Length (ft):</t>
  </si>
  <si>
    <t>Pipe Slope (S):</t>
  </si>
  <si>
    <t>Pipe Characteristics:</t>
  </si>
  <si>
    <t>Pipe Size (in):</t>
  </si>
  <si>
    <t>Pipe Area (sq ft):</t>
  </si>
  <si>
    <t>Wetted Perimeter (ft):</t>
  </si>
  <si>
    <t>Hydraulic Radius (ft):</t>
  </si>
  <si>
    <t>Roughness Coefficient (n):</t>
  </si>
  <si>
    <t>Flow Conveyance (K):</t>
  </si>
  <si>
    <t>Manning's Equation:</t>
  </si>
  <si>
    <t>The Mannings Equation cannot be used to analyze a pipe with zero or negative slope.</t>
  </si>
  <si>
    <t>Velocity (fps):</t>
  </si>
  <si>
    <t>Hydraulic Capacity (cfs):</t>
  </si>
  <si>
    <t>VCP:  use 0.011,</t>
  </si>
  <si>
    <t>typical for pipe &lt;= 21 in</t>
  </si>
  <si>
    <t>RCP:  use 0.013,</t>
  </si>
  <si>
    <t>for pipe &gt;=24 in when pipe size shown on atlas in inches</t>
  </si>
  <si>
    <t xml:space="preserve"> brick sewer:  use 0.015,</t>
  </si>
  <si>
    <t>for pipe &gt;=24 in when pipe size shown on atlas in feet</t>
  </si>
  <si>
    <t>Step 2: Tributary Area to Each Sewer Segment</t>
  </si>
  <si>
    <t>Total Tributary Area (ac):</t>
  </si>
  <si>
    <t>Adj. Factor</t>
  </si>
  <si>
    <t>Adjusted Area</t>
  </si>
  <si>
    <t>Residential Area (ac):</t>
  </si>
  <si>
    <t>Commercial Area (ac):</t>
  </si>
  <si>
    <t>Industrial Area (ac):</t>
  </si>
  <si>
    <t>Total Adjusted Area:</t>
  </si>
  <si>
    <t>Note:  Total tributary areas entered for segments 1 through 6 must include the cumulative tributary area for each segment.  All upstream tributary areas must be included.</t>
  </si>
  <si>
    <t>Step 3: Determine Release Rates of Each Segment</t>
  </si>
  <si>
    <t>Release Rate (cfs/ac):</t>
  </si>
  <si>
    <t xml:space="preserve"> Critical Local Sewer Capacity (cfs/ac):</t>
  </si>
  <si>
    <t>Step 4: Compare Outlet Sewer Capacity and Determine Release Rate</t>
  </si>
  <si>
    <t>Name of Outlet Drainage Basin (as shown on the map):</t>
  </si>
  <si>
    <t>Outlet Sewer Capacity (cfs/ac):</t>
  </si>
  <si>
    <t xml:space="preserve"> Maximum Allowable Release Rate (cfs/ac):</t>
  </si>
  <si>
    <t>1.0 Rate Control (Sheet 1 of 2)</t>
  </si>
  <si>
    <t>Step 1:</t>
  </si>
  <si>
    <t xml:space="preserve"> Runoff Calculation</t>
  </si>
  <si>
    <t xml:space="preserve"> Proposed Area (sq ft)</t>
  </si>
  <si>
    <t>C-Value 100-Year</t>
  </si>
  <si>
    <t>Storage Volume (cu ft)</t>
  </si>
  <si>
    <t>Pervious Land</t>
  </si>
  <si>
    <t>Lawns - Sandy soil, flat, 0% to 2%</t>
  </si>
  <si>
    <t>Lawns - Sandy soil, avg, 2% to 7%</t>
  </si>
  <si>
    <t>Lawns - Sandy soil, steep, &gt;7%</t>
  </si>
  <si>
    <t>Lawns - Heavy soil, flat, 0% to 2%</t>
  </si>
  <si>
    <t>Lawns - Heavy soil, avg, 2% to 7%</t>
  </si>
  <si>
    <t>Lawns - Heavy soil, steep, &gt;7%</t>
  </si>
  <si>
    <t>Woodlands, flat, 2%</t>
  </si>
  <si>
    <t>Native Vegetation with prepared soils</t>
  </si>
  <si>
    <t>Dry bottom basins to HWL</t>
  </si>
  <si>
    <t>Wetland</t>
  </si>
  <si>
    <t>Green Roof</t>
  </si>
  <si>
    <t>Impervious Land</t>
  </si>
  <si>
    <t>Gravel</t>
  </si>
  <si>
    <t xml:space="preserve">Pavement </t>
  </si>
  <si>
    <t>Roofs (conventional)</t>
  </si>
  <si>
    <t>Critical building sidewall (enter 25% of the face of the largest sidewall draining to lower level roofs or side gutters)</t>
  </si>
  <si>
    <t>Wet bottom basins to HWL</t>
  </si>
  <si>
    <t>BMP areas</t>
  </si>
  <si>
    <t>BMPs providing storage that WILL COUNT toward detention storage 
(from Worksheet 1.2)</t>
  </si>
  <si>
    <t>BMPs providing volume control storage that WILL NOT BE COUNTED toward detention 
(from Worksheet 1.2)</t>
  </si>
  <si>
    <t>Storage Provided will be used to factor the adjusted C-value in Cell D38</t>
  </si>
  <si>
    <t>Summary</t>
  </si>
  <si>
    <t>Total pervious area</t>
  </si>
  <si>
    <t>Total impervious area</t>
  </si>
  <si>
    <t>Total BMP area</t>
  </si>
  <si>
    <t>Total project area including sidewall</t>
  </si>
  <si>
    <t>Total project area excluding sidewall</t>
  </si>
  <si>
    <t>Weighted C- value (non BMP areas)</t>
  </si>
  <si>
    <t>unitless</t>
  </si>
  <si>
    <t>Adjusted C-value (including BMPs)</t>
  </si>
  <si>
    <t>Notes:</t>
  </si>
  <si>
    <t>Make note of any adjustments made for purposes of detention calcs here (such as removal of roof area that will discharge directly to Waters)</t>
  </si>
  <si>
    <t>Step 2:</t>
  </si>
  <si>
    <t>Allowable Release Rate Assessment</t>
  </si>
  <si>
    <t>Type Yes or No for all that apply</t>
  </si>
  <si>
    <t>Notes</t>
  </si>
  <si>
    <t>Question 1:</t>
  </si>
  <si>
    <t>Does the site drain directly to Waters?</t>
  </si>
  <si>
    <t>Question 2:</t>
  </si>
  <si>
    <t>Does the site only include residential land use?</t>
  </si>
  <si>
    <t>Question 3:</t>
  </si>
  <si>
    <t>Is the Regulated Development a Lot-to-Lot Buillding (85% or more of site footprint is occupied by buildings)?</t>
  </si>
  <si>
    <t>Question 4:</t>
  </si>
  <si>
    <t xml:space="preserve">Do you plan to use the standard maximum release rate (only available to sites less than 1.75 acres)?  </t>
  </si>
  <si>
    <t>Question 5:</t>
  </si>
  <si>
    <t xml:space="preserve">Is the site more than 75 percent of substantially contiguous at-grade open space that is conducive to ponding of surface waters (Answer "No" if site discharges to waterway or is a service station)?  </t>
  </si>
  <si>
    <t>Question 6:</t>
  </si>
  <si>
    <t>Does the development involve flow diversions (existing sewer connection to be relocated to a different main) or multiple sewer connections (only available to sites over 1.75 acres)?</t>
  </si>
  <si>
    <t>Question 7:</t>
  </si>
  <si>
    <t>Are there widespread contaminated soils on the site, high ground water table, or is this development classified as a lot-to-lot building?</t>
  </si>
  <si>
    <t>Department of Water Mangement</t>
  </si>
  <si>
    <t>1.0 Rate Control (Sheet 2 of 2)</t>
  </si>
  <si>
    <t xml:space="preserve">Step 3: </t>
  </si>
  <si>
    <t>Achieving Rate Control Measures</t>
  </si>
  <si>
    <t>Unadjusted Detention Release Rate</t>
  </si>
  <si>
    <t>cfs</t>
  </si>
  <si>
    <t xml:space="preserve"> Average Dry Weather Flow Rate 
(From Tab 1.1)</t>
  </si>
  <si>
    <t>Infiltration Facility Release Rate</t>
  </si>
  <si>
    <t>Release rate for detention storage computations</t>
  </si>
  <si>
    <t>Required Storage Volume</t>
  </si>
  <si>
    <t>cu ft</t>
  </si>
  <si>
    <t>Detention Storage Calculations</t>
  </si>
  <si>
    <t>(Based on Bulletin 75 Rainfall Data)</t>
  </si>
  <si>
    <t xml:space="preserve">STORM EVENT (5,10,25,50 or 100) = </t>
  </si>
  <si>
    <t>Allowable release rate</t>
  </si>
  <si>
    <t>Inflow</t>
  </si>
  <si>
    <t>Release</t>
  </si>
  <si>
    <t>Storage</t>
  </si>
  <si>
    <t xml:space="preserve">Storm </t>
  </si>
  <si>
    <t>Runoff</t>
  </si>
  <si>
    <t>Rainfall</t>
  </si>
  <si>
    <t>Drainage</t>
  </si>
  <si>
    <t>Rate</t>
  </si>
  <si>
    <t>Total</t>
  </si>
  <si>
    <t>Volume Rate</t>
  </si>
  <si>
    <t>Duration</t>
  </si>
  <si>
    <t>Coefficient</t>
  </si>
  <si>
    <t>Intensity</t>
  </si>
  <si>
    <t>Area A</t>
  </si>
  <si>
    <t>Q=CIA</t>
  </si>
  <si>
    <t>Storm Vol</t>
  </si>
  <si>
    <t>Qo</t>
  </si>
  <si>
    <t>Qi-Qo</t>
  </si>
  <si>
    <t>(Qi-Qo)*t*60</t>
  </si>
  <si>
    <t>(minutes)</t>
  </si>
  <si>
    <t>C</t>
  </si>
  <si>
    <t>(in/hr)</t>
  </si>
  <si>
    <t>(acres)</t>
  </si>
  <si>
    <t>(cfs)</t>
  </si>
  <si>
    <t>(cu ft)</t>
  </si>
  <si>
    <t>Required Detention Volume (cu ft)</t>
  </si>
  <si>
    <t xml:space="preserve">Note: 1) the calculation assumes that the rising and recessing limb of inflow and outflow hydrograph are vertical </t>
  </si>
  <si>
    <t>Average Dry Weather Flow</t>
  </si>
  <si>
    <t>To be used to determine if the allowable release rate for detention storage must be lowered to account for a significant DWF (DWF &gt; 10% of the allowable release rate).</t>
  </si>
  <si>
    <t>Land Use</t>
  </si>
  <si>
    <t>Average Gallons per Day (gpd)</t>
  </si>
  <si>
    <t>Quantity</t>
  </si>
  <si>
    <t>Hospitals</t>
  </si>
  <si>
    <t>per bed space</t>
  </si>
  <si>
    <t>Hotels (w/laundry)</t>
  </si>
  <si>
    <t>per room</t>
  </si>
  <si>
    <t>Hotels (w/o laundry)</t>
  </si>
  <si>
    <t>Single Family</t>
  </si>
  <si>
    <t>per home</t>
  </si>
  <si>
    <t>Multi-Family - 3 bedroom</t>
  </si>
  <si>
    <t>per unit</t>
  </si>
  <si>
    <t>Multi-Family - 2 bedroom</t>
  </si>
  <si>
    <t>Multi-Family - 1 bedroom</t>
  </si>
  <si>
    <t>Studio Apartment</t>
  </si>
  <si>
    <t>Boarding Homes</t>
  </si>
  <si>
    <t>per person</t>
  </si>
  <si>
    <t>Factories (excluding process water)</t>
  </si>
  <si>
    <t>per person, per shift</t>
  </si>
  <si>
    <t>Office</t>
  </si>
  <si>
    <t>Restaurant (w/ lounge)</t>
  </si>
  <si>
    <t>per patron</t>
  </si>
  <si>
    <t>Restaurant (w/o lounge)</t>
  </si>
  <si>
    <t>Convention Center</t>
  </si>
  <si>
    <t>Equivalent Drainage Area</t>
  </si>
  <si>
    <t>Peak Dry Weather Flow</t>
  </si>
  <si>
    <t>To be used for sewer connection sizing and surcharge calculations</t>
  </si>
  <si>
    <t>The DWF (with peaking factor) should be based on the number of fixture units (FTU), reference the Municipal Building Code, Table 18.29-1108.1.  The conversion from the number of fixture units to drainage area (sf) to peak DWF (cfs) is as follows:</t>
  </si>
  <si>
    <t xml:space="preserve">Drainage area </t>
  </si>
  <si>
    <t xml:space="preserve">= [(FTU – 150) * 7.2] + 4850 sf </t>
  </si>
  <si>
    <t xml:space="preserve">Peak DWF </t>
  </si>
  <si>
    <t>= Drainage Area / 43,560 sf/acre * 1.0 cfs/acre</t>
  </si>
  <si>
    <t>Building Fixture Units</t>
  </si>
  <si>
    <t>FTU</t>
  </si>
  <si>
    <t>Peak DWF</t>
  </si>
  <si>
    <t>1.2 BMPs for Rate Control Credit</t>
  </si>
  <si>
    <t>Volume Control BMP Summary for use in Rate Control Worksheet</t>
  </si>
  <si>
    <t>Instructions for use:</t>
  </si>
  <si>
    <t>This summary worksheet provides information for BMPs for use in the Rate Control Spreadsheet.</t>
  </si>
  <si>
    <t>Storage provided should be from the computation made on the each individual BMP spreadsheet (2.1.1 to 2.1.8).</t>
  </si>
  <si>
    <t xml:space="preserve">Total area of BMPs will carry over to Rate Control Worksheet. </t>
  </si>
  <si>
    <t>Other areas (ie reduce pavement area if permeable pavement implemented)should adjusted such that Line 35 on Rate Control Worksheet equals total site area.</t>
  </si>
  <si>
    <t>When the option exists, the applicant may decide whether or not to count volume control storage toward detention storage.</t>
  </si>
  <si>
    <t>n/a = not applicable and indicates when credit is inappropriate or unavailable for a given BMP.</t>
  </si>
  <si>
    <t>BMP Areas with Storage COUNTED toward Rate Control Volume</t>
  </si>
  <si>
    <t>Type "yes" to Select</t>
  </si>
  <si>
    <t>BMP</t>
  </si>
  <si>
    <t>BMP Infiltration Area (sq. ft.)</t>
  </si>
  <si>
    <t>Storage Provided (cu. ft.)</t>
  </si>
  <si>
    <r>
      <t xml:space="preserve">Design Soil Infiltration Rate (in/hr) </t>
    </r>
    <r>
      <rPr>
        <b/>
        <vertAlign val="superscript"/>
        <sz val="10"/>
        <rFont val="Arial"/>
        <family val="2"/>
      </rPr>
      <t>3</t>
    </r>
  </si>
  <si>
    <t>Allowable Infiltration Release Rate (cfs)</t>
  </si>
  <si>
    <t>Bioinfiltration Systems</t>
  </si>
  <si>
    <t>Drainage Swales</t>
  </si>
  <si>
    <t>n/a</t>
  </si>
  <si>
    <t>Infiltration Vault</t>
  </si>
  <si>
    <r>
      <t>Natural Landscaping and Stormwater Trees</t>
    </r>
    <r>
      <rPr>
        <vertAlign val="superscript"/>
        <sz val="10"/>
        <rFont val="Arial"/>
        <family val="2"/>
      </rPr>
      <t>1</t>
    </r>
  </si>
  <si>
    <t>Roof Runoff BMPs - Planter Boxes</t>
  </si>
  <si>
    <t>Roof Runoff BMPs - Rain Barrels and Cisterns</t>
  </si>
  <si>
    <t>Permeable Paving</t>
  </si>
  <si>
    <r>
      <t>Vegetated Filter Strips</t>
    </r>
    <r>
      <rPr>
        <vertAlign val="superscript"/>
        <sz val="10"/>
        <rFont val="Arial"/>
        <family val="2"/>
      </rPr>
      <t>2</t>
    </r>
  </si>
  <si>
    <t>Totals</t>
  </si>
  <si>
    <t>-</t>
  </si>
  <si>
    <t>1. Natural landscaping areas do not have specific storage, they can simply be entered on Rate Control 
    Spreadsheet as having a C-value of 0.1.  Detention Credit is not given for stormwater trees.</t>
  </si>
  <si>
    <t>2. Vegetated Filter strips also are not given credit for a "volume of storage" and should be entered 
    in the pervious land cover section of the Rate Control Spreadsheet based on their cover type.</t>
  </si>
  <si>
    <t>3. Infiltration rate must be the design infiltration rate as explained in Stormwater Manual. If the 
infiltration rate is less than 0.5 in/hr, credit cannot be taken for infiltration and the Allowable Infiltration Release is set to zero.  This value is automatically copied from each respective BMP spreadsheet.</t>
  </si>
  <si>
    <t>BMP Areas with Storage NOT COUNTED toward Rate Control Volume</t>
  </si>
  <si>
    <t>Area (sq. ft.)</t>
  </si>
  <si>
    <t>Type Yes or No</t>
  </si>
  <si>
    <t>Does the design include Oversized Detention with an associated reduction in the allowable release rate?</t>
  </si>
  <si>
    <t>Does the design exceed the Stormwater Ordinance requirements by achieving strategy 3.1 or 3.2 of the Sustainable Development Policy with an associated reduction in the allowable release rate?</t>
  </si>
  <si>
    <t>This worksheet takes the allowable release rate from Tab 1.0 (typically) or Tab 2.1.9 (for Oversized Detention) or Tab 3.1 (for Exceeding the Stormwater Ordinance to meet the Sustainable Development Policy), and sizes an orifice to provide this peak discharge rate.  Discharge through infiltration is not included when sizing the restrictor.</t>
  </si>
  <si>
    <t>Summary of Release Rates:</t>
  </si>
  <si>
    <t>Release Rate from Tab 1.0 Rate Control</t>
  </si>
  <si>
    <t>Q</t>
  </si>
  <si>
    <t>Release Rate from Tab 2.1.9 Oversized Detention</t>
  </si>
  <si>
    <t>Release Rate from Tab 3.1 Exceed Rate Control</t>
  </si>
  <si>
    <t>Controlling (Smallest) Release Rate</t>
  </si>
  <si>
    <t>Restrictor Head Calculation (for both Orifice Plate and Vortex Restrictors):</t>
  </si>
  <si>
    <t>100-Year High Water Level</t>
  </si>
  <si>
    <t>HWL</t>
  </si>
  <si>
    <t>feet</t>
  </si>
  <si>
    <t>Upper Invert of Half-Trap</t>
  </si>
  <si>
    <t>Calculated Head</t>
  </si>
  <si>
    <t>h</t>
  </si>
  <si>
    <t>Orifice Plate Sizing Calculation:</t>
  </si>
  <si>
    <t xml:space="preserve">This calculation is used to size the appropriate diameter orifice in a steel plate.  See Sewer Detail A-19.  </t>
  </si>
  <si>
    <t>General Formula:</t>
  </si>
  <si>
    <r>
      <t>Q = C</t>
    </r>
    <r>
      <rPr>
        <vertAlign val="subscript"/>
        <sz val="10"/>
        <rFont val="Arial"/>
        <family val="2"/>
      </rPr>
      <t>d</t>
    </r>
    <r>
      <rPr>
        <sz val="10"/>
        <rFont val="Arial"/>
        <family val="2"/>
      </rPr>
      <t>A</t>
    </r>
    <r>
      <rPr>
        <sz val="10"/>
        <rFont val="Arial"/>
      </rPr>
      <t>(2gh)^0.5</t>
    </r>
  </si>
  <si>
    <t>Where:</t>
  </si>
  <si>
    <r>
      <t>C</t>
    </r>
    <r>
      <rPr>
        <vertAlign val="subscript"/>
        <sz val="10"/>
        <rFont val="Arial"/>
        <family val="2"/>
      </rPr>
      <t>d</t>
    </r>
    <r>
      <rPr>
        <sz val="10"/>
        <rFont val="Arial"/>
      </rPr>
      <t xml:space="preserve"> = 0.61 for sharp-edged plate bolted to a catch basin</t>
    </r>
  </si>
  <si>
    <r>
      <t>C</t>
    </r>
    <r>
      <rPr>
        <vertAlign val="subscript"/>
        <sz val="10"/>
        <rFont val="Arial"/>
        <family val="2"/>
      </rPr>
      <t>d</t>
    </r>
    <r>
      <rPr>
        <sz val="10"/>
        <rFont val="Arial"/>
      </rPr>
      <t xml:space="preserve"> = 0.82 for pipes less than 2 feet long grouted into sewer</t>
    </r>
  </si>
  <si>
    <t>Orifice Description:</t>
  </si>
  <si>
    <t>Orifice Plate</t>
  </si>
  <si>
    <t>Discharge</t>
  </si>
  <si>
    <t>Discharge coefficient</t>
  </si>
  <si>
    <r>
      <t>C</t>
    </r>
    <r>
      <rPr>
        <vertAlign val="subscript"/>
        <sz val="10"/>
        <rFont val="Arial"/>
        <family val="2"/>
      </rPr>
      <t>d</t>
    </r>
  </si>
  <si>
    <t>Orifice Diameter</t>
  </si>
  <si>
    <t>d</t>
  </si>
  <si>
    <t>inches</t>
  </si>
  <si>
    <t>Specify a Vortex Restrictor:</t>
  </si>
  <si>
    <t>Release Rate for Vortex Restrictor</t>
  </si>
  <si>
    <t>2.0 Volume Control</t>
  </si>
  <si>
    <t xml:space="preserve"> Existing Area 
(sq ft)</t>
  </si>
  <si>
    <t xml:space="preserve"> Proposed Area 
(sq ft)</t>
  </si>
  <si>
    <t>Pervious Surface or Land Cover not Counted as Impervious for Volume Control Calculations</t>
  </si>
  <si>
    <t>Bare Earth</t>
  </si>
  <si>
    <t>Lawn or Landscaped Areas</t>
  </si>
  <si>
    <t>Woodlands</t>
  </si>
  <si>
    <t>Water (including Wet Bottom Basin to HWL)</t>
  </si>
  <si>
    <t>BMPs</t>
  </si>
  <si>
    <t>Permeable Pavement</t>
  </si>
  <si>
    <t>Bioinfiltration</t>
  </si>
  <si>
    <t>Swales</t>
  </si>
  <si>
    <t>Stormwater Trees</t>
  </si>
  <si>
    <t>Roof Runoff Planters</t>
  </si>
  <si>
    <t>Filter Strips</t>
  </si>
  <si>
    <t>Dry Bottom Basins to HWL</t>
  </si>
  <si>
    <t>Total pervious area (sq ft)</t>
  </si>
  <si>
    <t>Total impervious area (sq ft)</t>
  </si>
  <si>
    <t>Total BMP areas treated as impervious area (sq ft)</t>
  </si>
  <si>
    <t>Total BMP areas treated as pervious area (sq ft)</t>
  </si>
  <si>
    <t>Total site area (sq ft)</t>
  </si>
  <si>
    <t>Imperviousness percentage (%)</t>
  </si>
  <si>
    <t>Volume Control Assessment</t>
  </si>
  <si>
    <t>Note</t>
  </si>
  <si>
    <t>Are infiltration BMPs allowable? (See Chapter III Sections 4.1.2 of the Regulations.)</t>
  </si>
  <si>
    <t>Do you wish to use permeable pavement only as a pervious surface to achieve impervious surface reduction goal?</t>
  </si>
  <si>
    <t>Step 3:</t>
  </si>
  <si>
    <t>Achieving Volume Control Measures</t>
  </si>
  <si>
    <t>Achieve I. or II. below in accordance with the Ordinance.</t>
  </si>
  <si>
    <t>I.</t>
  </si>
  <si>
    <t>Capture 0.5" of runoff from impervious surfaces.  Storage required =</t>
  </si>
  <si>
    <t>cubic feet</t>
  </si>
  <si>
    <t>Go to spreadsheet 2.1 BMP Volume Summary if electing volume control storage option</t>
  </si>
  <si>
    <t>or, II.</t>
  </si>
  <si>
    <t>Reduce proposed imperviousness to:</t>
  </si>
  <si>
    <t>percent</t>
  </si>
  <si>
    <t xml:space="preserve">2.1.1 Bioinfiltration Systems </t>
  </si>
  <si>
    <t>Section 1 Upstream Drainage Area</t>
  </si>
  <si>
    <t>Upstream impervious area including BMP area</t>
  </si>
  <si>
    <r>
      <t>A</t>
    </r>
    <r>
      <rPr>
        <vertAlign val="subscript"/>
        <sz val="10"/>
        <rFont val="Arial"/>
        <family val="2"/>
      </rPr>
      <t>t</t>
    </r>
  </si>
  <si>
    <t>square feet</t>
  </si>
  <si>
    <t>Upstream weighted C-value (C-value=1.0 for bioinfiltration area for direct rainfall)</t>
  </si>
  <si>
    <r>
      <t>V</t>
    </r>
    <r>
      <rPr>
        <vertAlign val="subscript"/>
        <sz val="10"/>
        <rFont val="Arial"/>
        <family val="2"/>
      </rPr>
      <t>upstream</t>
    </r>
  </si>
  <si>
    <t>Describe upstream drainage area</t>
  </si>
  <si>
    <t>Describe upstream pretreament or integration of pretreatment into BMP</t>
  </si>
  <si>
    <t>Section 2 BMP Feasibilty</t>
  </si>
  <si>
    <t>Design soil infiltration rate (underdrain system is required if infiltration rate is less than 0.5 in/hr)</t>
  </si>
  <si>
    <t>i</t>
  </si>
  <si>
    <t>in/hr</t>
  </si>
  <si>
    <t>Elevation of bottom of BMP (the infiltration surface) IF there is no underdrain, OR the lowest underdrain invert elevation</t>
  </si>
  <si>
    <r>
      <t>ELEV</t>
    </r>
    <r>
      <rPr>
        <vertAlign val="subscript"/>
        <sz val="10"/>
        <rFont val="Arial"/>
        <family val="2"/>
      </rPr>
      <t>BMP</t>
    </r>
  </si>
  <si>
    <t>Groundwater elevation</t>
  </si>
  <si>
    <r>
      <t>ELEV</t>
    </r>
    <r>
      <rPr>
        <vertAlign val="subscript"/>
        <sz val="10"/>
        <rFont val="Arial"/>
        <family val="2"/>
      </rPr>
      <t>GW</t>
    </r>
  </si>
  <si>
    <t>Depth to seasonal groundwater (Must be 2 feet or greater, or 3.5 feet or greater if draining to combined sewer)</t>
  </si>
  <si>
    <r>
      <t>D</t>
    </r>
    <r>
      <rPr>
        <vertAlign val="subscript"/>
        <sz val="10"/>
        <rFont val="Arial"/>
        <family val="2"/>
      </rPr>
      <t>GW</t>
    </r>
  </si>
  <si>
    <t>Section 3 BMP Specifications</t>
  </si>
  <si>
    <t>Dimensions of the bioinfiltration facility (length, width, or area)</t>
  </si>
  <si>
    <t>L</t>
  </si>
  <si>
    <t>W</t>
  </si>
  <si>
    <r>
      <t>A</t>
    </r>
    <r>
      <rPr>
        <vertAlign val="subscript"/>
        <sz val="10"/>
        <rFont val="Arial"/>
        <family val="2"/>
      </rPr>
      <t>BMP</t>
    </r>
  </si>
  <si>
    <t>Depth of prepared soil</t>
  </si>
  <si>
    <r>
      <t>D</t>
    </r>
    <r>
      <rPr>
        <vertAlign val="subscript"/>
        <sz val="10"/>
        <rFont val="Arial"/>
        <family val="2"/>
      </rPr>
      <t>1</t>
    </r>
  </si>
  <si>
    <t>Prepared soil porosity (0.25 maximum unless detailed materials report provided)</t>
  </si>
  <si>
    <r>
      <t>P</t>
    </r>
    <r>
      <rPr>
        <vertAlign val="subscript"/>
        <sz val="10"/>
        <rFont val="Arial"/>
        <family val="2"/>
      </rPr>
      <t>1</t>
    </r>
  </si>
  <si>
    <t>Depth of underlying aggregate (optional)</t>
  </si>
  <si>
    <r>
      <t>D</t>
    </r>
    <r>
      <rPr>
        <vertAlign val="subscript"/>
        <sz val="10"/>
        <rFont val="Arial"/>
        <family val="2"/>
      </rPr>
      <t>2</t>
    </r>
  </si>
  <si>
    <t>Aggregate porosity (0.38 maximum unless detailed materials report provided)</t>
  </si>
  <si>
    <r>
      <t>P</t>
    </r>
    <r>
      <rPr>
        <vertAlign val="subscript"/>
        <sz val="10"/>
        <rFont val="Arial"/>
        <family val="2"/>
      </rPr>
      <t>2</t>
    </r>
  </si>
  <si>
    <t>Surface storage volume (provide supporting calculations, max depth 12 inches)</t>
  </si>
  <si>
    <r>
      <t>V</t>
    </r>
    <r>
      <rPr>
        <vertAlign val="subscript"/>
        <sz val="10"/>
        <rFont val="Arial"/>
        <family val="2"/>
      </rPr>
      <t>AIR</t>
    </r>
  </si>
  <si>
    <r>
      <t>Soil media storage volume = A</t>
    </r>
    <r>
      <rPr>
        <vertAlign val="subscript"/>
        <sz val="10"/>
        <rFont val="Arial"/>
        <family val="2"/>
      </rPr>
      <t>BMP</t>
    </r>
    <r>
      <rPr>
        <sz val="10"/>
        <rFont val="Arial"/>
      </rPr>
      <t xml:space="preserve"> * [(D</t>
    </r>
    <r>
      <rPr>
        <vertAlign val="subscript"/>
        <sz val="10"/>
        <rFont val="Arial"/>
        <family val="2"/>
      </rPr>
      <t>1</t>
    </r>
    <r>
      <rPr>
        <sz val="10"/>
        <rFont val="Arial"/>
      </rPr>
      <t xml:space="preserve"> * P</t>
    </r>
    <r>
      <rPr>
        <vertAlign val="subscript"/>
        <sz val="10"/>
        <rFont val="Arial"/>
        <family val="2"/>
      </rPr>
      <t>1</t>
    </r>
    <r>
      <rPr>
        <sz val="10"/>
        <rFont val="Arial"/>
      </rPr>
      <t>) + (D</t>
    </r>
    <r>
      <rPr>
        <vertAlign val="subscript"/>
        <sz val="10"/>
        <rFont val="Arial"/>
        <family val="2"/>
      </rPr>
      <t>2</t>
    </r>
    <r>
      <rPr>
        <sz val="10"/>
        <rFont val="Arial"/>
      </rPr>
      <t xml:space="preserve"> * P</t>
    </r>
    <r>
      <rPr>
        <vertAlign val="subscript"/>
        <sz val="10"/>
        <rFont val="Arial"/>
        <family val="2"/>
      </rPr>
      <t>2</t>
    </r>
    <r>
      <rPr>
        <sz val="10"/>
        <rFont val="Arial"/>
      </rPr>
      <t>)]</t>
    </r>
  </si>
  <si>
    <r>
      <t>V</t>
    </r>
    <r>
      <rPr>
        <vertAlign val="subscript"/>
        <sz val="10"/>
        <rFont val="Arial"/>
        <family val="2"/>
      </rPr>
      <t>SOIL</t>
    </r>
  </si>
  <si>
    <t>Section 4 BMP Performance</t>
  </si>
  <si>
    <t>Volume of upstream runoff (Line 4)</t>
  </si>
  <si>
    <r>
      <t>Storage Provided = V</t>
    </r>
    <r>
      <rPr>
        <vertAlign val="subscript"/>
        <sz val="10"/>
        <rFont val="Arial"/>
        <family val="2"/>
      </rPr>
      <t>AIR</t>
    </r>
    <r>
      <rPr>
        <sz val="10"/>
        <rFont val="Arial"/>
      </rPr>
      <t xml:space="preserve"> + V</t>
    </r>
    <r>
      <rPr>
        <vertAlign val="subscript"/>
        <sz val="10"/>
        <rFont val="Arial"/>
        <family val="2"/>
      </rPr>
      <t>SOIL</t>
    </r>
  </si>
  <si>
    <r>
      <t>V</t>
    </r>
    <r>
      <rPr>
        <vertAlign val="subscript"/>
        <sz val="10"/>
        <rFont val="Arial"/>
        <family val="2"/>
      </rPr>
      <t>BMP</t>
    </r>
  </si>
  <si>
    <r>
      <t>V</t>
    </r>
    <r>
      <rPr>
        <vertAlign val="subscript"/>
        <sz val="10"/>
        <rFont val="Arial"/>
        <family val="2"/>
      </rPr>
      <t>total</t>
    </r>
    <r>
      <rPr>
        <sz val="10"/>
        <rFont val="Arial"/>
      </rPr>
      <t xml:space="preserve"> (equals lesser of V</t>
    </r>
    <r>
      <rPr>
        <vertAlign val="subscript"/>
        <sz val="10"/>
        <rFont val="Arial"/>
        <family val="2"/>
      </rPr>
      <t>BMP</t>
    </r>
    <r>
      <rPr>
        <sz val="10"/>
        <rFont val="Arial"/>
      </rPr>
      <t xml:space="preserve"> or V</t>
    </r>
    <r>
      <rPr>
        <vertAlign val="subscript"/>
        <sz val="10"/>
        <rFont val="Arial"/>
        <family val="2"/>
      </rPr>
      <t>upstream</t>
    </r>
    <r>
      <rPr>
        <sz val="10"/>
        <rFont val="Arial"/>
      </rPr>
      <t>)</t>
    </r>
  </si>
  <si>
    <r>
      <t>V</t>
    </r>
    <r>
      <rPr>
        <vertAlign val="subscript"/>
        <sz val="10"/>
        <rFont val="Arial"/>
        <family val="2"/>
      </rPr>
      <t>total</t>
    </r>
  </si>
  <si>
    <t xml:space="preserve">2.1.2 Drainage Swales </t>
  </si>
  <si>
    <t>Time of Concentration for upstream area (use TR-55 or DWM approved method)</t>
  </si>
  <si>
    <r>
      <t>T</t>
    </r>
    <r>
      <rPr>
        <vertAlign val="subscript"/>
        <sz val="10"/>
        <rFont val="Arial"/>
        <family val="2"/>
      </rPr>
      <t>c</t>
    </r>
  </si>
  <si>
    <t>minutes</t>
  </si>
  <si>
    <r>
      <t>2-year Rain Intensity based on T</t>
    </r>
    <r>
      <rPr>
        <vertAlign val="subscript"/>
        <sz val="10"/>
        <rFont val="Arial"/>
        <family val="2"/>
      </rPr>
      <t>c</t>
    </r>
    <r>
      <rPr>
        <sz val="10"/>
        <rFont val="Arial"/>
      </rPr>
      <t xml:space="preserve"> 
(see chart)</t>
    </r>
  </si>
  <si>
    <t>I</t>
  </si>
  <si>
    <r>
      <t>2-Year Design Flow: Q = C*I*A</t>
    </r>
    <r>
      <rPr>
        <vertAlign val="subscript"/>
        <sz val="10"/>
        <rFont val="Arial"/>
        <family val="2"/>
      </rPr>
      <t>u</t>
    </r>
    <r>
      <rPr>
        <sz val="10"/>
        <rFont val="Arial"/>
        <family val="2"/>
      </rPr>
      <t>/43560</t>
    </r>
  </si>
  <si>
    <r>
      <t>Q</t>
    </r>
    <r>
      <rPr>
        <vertAlign val="subscript"/>
        <sz val="10"/>
        <rFont val="Arial"/>
        <family val="2"/>
      </rPr>
      <t>2</t>
    </r>
  </si>
  <si>
    <t>Dimensions of the drainage swale 
[length L, side slope SS, bottom width (BW), swale flowline Slope, Manning's n]</t>
  </si>
  <si>
    <t>SS</t>
  </si>
  <si>
    <t>ft/ft</t>
  </si>
  <si>
    <t>BW</t>
  </si>
  <si>
    <t>Slope (0.5% to 2.5%)</t>
  </si>
  <si>
    <t>%</t>
  </si>
  <si>
    <t>Manning n</t>
  </si>
  <si>
    <t>Depth of Flow (must be 6 inches or less)</t>
  </si>
  <si>
    <t>2-Year Depth of Flow</t>
  </si>
  <si>
    <t>Check to see if selected depth can pass 2-year flow (result must be greater than or equal to 2-year flow in line 8) 
Q = 1.49/n*A*(R^0.67)*(S/100)^0.5</t>
  </si>
  <si>
    <r>
      <t>Q</t>
    </r>
    <r>
      <rPr>
        <vertAlign val="subscript"/>
        <sz val="10"/>
        <rFont val="Arial"/>
        <family val="2"/>
      </rPr>
      <t>swale</t>
    </r>
  </si>
  <si>
    <t>Velocity at 6-inch depth of flow</t>
  </si>
  <si>
    <t>Vel</t>
  </si>
  <si>
    <t>ft/sec</t>
  </si>
  <si>
    <t>Check dam height (max = 1 foot)</t>
  </si>
  <si>
    <r>
      <t>H</t>
    </r>
    <r>
      <rPr>
        <vertAlign val="subscript"/>
        <sz val="10"/>
        <rFont val="Arial"/>
        <family val="2"/>
      </rPr>
      <t>dam</t>
    </r>
  </si>
  <si>
    <t>ft</t>
  </si>
  <si>
    <r>
      <t>Check dam area = BW*H</t>
    </r>
    <r>
      <rPr>
        <vertAlign val="subscript"/>
        <sz val="10"/>
        <rFont val="Arial"/>
        <family val="2"/>
      </rPr>
      <t>dam</t>
    </r>
    <r>
      <rPr>
        <sz val="10"/>
        <rFont val="Arial"/>
      </rPr>
      <t>+SS*H</t>
    </r>
    <r>
      <rPr>
        <vertAlign val="subscript"/>
        <sz val="10"/>
        <rFont val="Arial"/>
        <family val="2"/>
      </rPr>
      <t>dam</t>
    </r>
    <r>
      <rPr>
        <sz val="10"/>
        <rFont val="Arial"/>
      </rPr>
      <t>^2</t>
    </r>
  </si>
  <si>
    <r>
      <t>A</t>
    </r>
    <r>
      <rPr>
        <vertAlign val="subscript"/>
        <sz val="10"/>
        <rFont val="Arial"/>
        <family val="2"/>
      </rPr>
      <t>dam</t>
    </r>
  </si>
  <si>
    <r>
      <t>Spacing of dams = H</t>
    </r>
    <r>
      <rPr>
        <vertAlign val="subscript"/>
        <sz val="10"/>
        <rFont val="Arial"/>
        <family val="2"/>
      </rPr>
      <t>dam</t>
    </r>
    <r>
      <rPr>
        <sz val="10"/>
        <rFont val="Arial"/>
      </rPr>
      <t>/Slope</t>
    </r>
  </si>
  <si>
    <t>Spacing</t>
  </si>
  <si>
    <t>ft/dam</t>
  </si>
  <si>
    <t>Total number of check dams = L/Spacing (round down)</t>
  </si>
  <si>
    <r>
      <t>N</t>
    </r>
    <r>
      <rPr>
        <vertAlign val="subscript"/>
        <sz val="10"/>
        <rFont val="Arial"/>
        <family val="2"/>
      </rPr>
      <t>dam</t>
    </r>
  </si>
  <si>
    <t>dams</t>
  </si>
  <si>
    <r>
      <t>Check dam storage = N</t>
    </r>
    <r>
      <rPr>
        <vertAlign val="subscript"/>
        <sz val="10"/>
        <rFont val="Arial"/>
        <family val="2"/>
      </rPr>
      <t>dam</t>
    </r>
    <r>
      <rPr>
        <sz val="10"/>
        <rFont val="Arial"/>
      </rPr>
      <t>*A</t>
    </r>
    <r>
      <rPr>
        <vertAlign val="subscript"/>
        <sz val="10"/>
        <rFont val="Arial"/>
        <family val="2"/>
      </rPr>
      <t>dam</t>
    </r>
    <r>
      <rPr>
        <sz val="10"/>
        <rFont val="Arial"/>
      </rPr>
      <t>*Spacing/2</t>
    </r>
  </si>
  <si>
    <r>
      <t>V</t>
    </r>
    <r>
      <rPr>
        <vertAlign val="subscript"/>
        <sz val="10"/>
        <rFont val="Arial"/>
        <family val="2"/>
      </rPr>
      <t>dam</t>
    </r>
  </si>
  <si>
    <r>
      <t>D</t>
    </r>
    <r>
      <rPr>
        <vertAlign val="subscript"/>
        <sz val="10"/>
        <rFont val="Arial"/>
        <family val="2"/>
      </rPr>
      <t>soil</t>
    </r>
  </si>
  <si>
    <r>
      <t>P</t>
    </r>
    <r>
      <rPr>
        <vertAlign val="subscript"/>
        <sz val="10"/>
        <rFont val="Arial"/>
        <family val="2"/>
      </rPr>
      <t>soil</t>
    </r>
  </si>
  <si>
    <r>
      <t>Soil storage volume = L*BW</t>
    </r>
    <r>
      <rPr>
        <sz val="10"/>
        <rFont val="Arial"/>
      </rPr>
      <t>*D</t>
    </r>
    <r>
      <rPr>
        <vertAlign val="subscript"/>
        <sz val="10"/>
        <rFont val="Arial"/>
        <family val="2"/>
      </rPr>
      <t>soil</t>
    </r>
    <r>
      <rPr>
        <sz val="10"/>
        <rFont val="Arial"/>
      </rPr>
      <t>*P</t>
    </r>
    <r>
      <rPr>
        <vertAlign val="subscript"/>
        <sz val="10"/>
        <rFont val="Arial"/>
        <family val="2"/>
      </rPr>
      <t>soil</t>
    </r>
  </si>
  <si>
    <r>
      <t>V</t>
    </r>
    <r>
      <rPr>
        <vertAlign val="subscript"/>
        <sz val="10"/>
        <rFont val="Arial"/>
        <family val="2"/>
      </rPr>
      <t>soil</t>
    </r>
  </si>
  <si>
    <t>Depth of underlying aggregate (optional, provision of aggregrate only allowed when minimum infiltration feasibility requirements are met or when underdrains are provided)</t>
  </si>
  <si>
    <r>
      <t>D</t>
    </r>
    <r>
      <rPr>
        <vertAlign val="subscript"/>
        <sz val="10"/>
        <rFont val="Arial"/>
        <family val="2"/>
      </rPr>
      <t>agg</t>
    </r>
  </si>
  <si>
    <t>Width of aggregate layer</t>
  </si>
  <si>
    <r>
      <t>W</t>
    </r>
    <r>
      <rPr>
        <vertAlign val="subscript"/>
        <sz val="10"/>
        <rFont val="Arial"/>
        <family val="2"/>
      </rPr>
      <t>agg</t>
    </r>
  </si>
  <si>
    <r>
      <t>P</t>
    </r>
    <r>
      <rPr>
        <vertAlign val="subscript"/>
        <sz val="10"/>
        <rFont val="Arial"/>
        <family val="2"/>
      </rPr>
      <t>agg</t>
    </r>
  </si>
  <si>
    <r>
      <t>Aggregate storage volume = L*W</t>
    </r>
    <r>
      <rPr>
        <vertAlign val="subscript"/>
        <sz val="10"/>
        <rFont val="Arial"/>
        <family val="2"/>
      </rPr>
      <t>agg</t>
    </r>
    <r>
      <rPr>
        <sz val="10"/>
        <rFont val="Arial"/>
      </rPr>
      <t>*D</t>
    </r>
    <r>
      <rPr>
        <vertAlign val="subscript"/>
        <sz val="10"/>
        <rFont val="Arial"/>
        <family val="2"/>
      </rPr>
      <t>agg</t>
    </r>
    <r>
      <rPr>
        <sz val="10"/>
        <rFont val="Arial"/>
      </rPr>
      <t>*P</t>
    </r>
    <r>
      <rPr>
        <vertAlign val="subscript"/>
        <sz val="10"/>
        <rFont val="Arial"/>
        <family val="2"/>
      </rPr>
      <t>agg</t>
    </r>
  </si>
  <si>
    <r>
      <t>V</t>
    </r>
    <r>
      <rPr>
        <vertAlign val="subscript"/>
        <sz val="10"/>
        <rFont val="Arial"/>
        <family val="2"/>
      </rPr>
      <t>agg</t>
    </r>
  </si>
  <si>
    <t>Check Dam Storage (Line 21)</t>
  </si>
  <si>
    <t>Soil Storage (Line 24)</t>
  </si>
  <si>
    <t>Aggregate Storage (Line 28)</t>
  </si>
  <si>
    <r>
      <t>Storage Provided = V</t>
    </r>
    <r>
      <rPr>
        <vertAlign val="subscript"/>
        <sz val="10"/>
        <rFont val="Arial"/>
        <family val="2"/>
      </rPr>
      <t>dam</t>
    </r>
    <r>
      <rPr>
        <sz val="10"/>
        <rFont val="Arial"/>
      </rPr>
      <t xml:space="preserve"> + V</t>
    </r>
    <r>
      <rPr>
        <vertAlign val="subscript"/>
        <sz val="10"/>
        <rFont val="Arial"/>
        <family val="2"/>
      </rPr>
      <t>soil</t>
    </r>
    <r>
      <rPr>
        <sz val="10"/>
        <rFont val="Arial"/>
      </rPr>
      <t xml:space="preserve"> + V</t>
    </r>
    <r>
      <rPr>
        <vertAlign val="subscript"/>
        <sz val="10"/>
        <rFont val="Arial"/>
        <family val="2"/>
      </rPr>
      <t>agg</t>
    </r>
  </si>
  <si>
    <t xml:space="preserve">2.1.3 Green Roof </t>
  </si>
  <si>
    <t>Section 1 BMP Specifications</t>
  </si>
  <si>
    <t>Dimensions of the green roof (length L, width W, substrate thickness T)</t>
  </si>
  <si>
    <t>T</t>
  </si>
  <si>
    <t>Section 2 BMP Performance</t>
  </si>
  <si>
    <t>Volume control when green roof treated as a pervious surface</t>
  </si>
  <si>
    <t>Green roof counted toward pervious area (check to see if overall site imperviousness reduction is greater than 15 percent, if so volume control requirements have been met)</t>
  </si>
  <si>
    <r>
      <t>A</t>
    </r>
    <r>
      <rPr>
        <vertAlign val="subscript"/>
        <sz val="10"/>
        <rFont val="Arial"/>
        <family val="2"/>
      </rPr>
      <t>G</t>
    </r>
  </si>
  <si>
    <t xml:space="preserve">2.1.4 Infiltration Vault </t>
  </si>
  <si>
    <t>Upstream impervious area</t>
  </si>
  <si>
    <r>
      <t>A</t>
    </r>
    <r>
      <rPr>
        <vertAlign val="subscript"/>
        <sz val="10"/>
        <rFont val="Arial"/>
        <family val="2"/>
      </rPr>
      <t>i</t>
    </r>
  </si>
  <si>
    <t>Upstream weighted C-value</t>
  </si>
  <si>
    <r>
      <t>V</t>
    </r>
    <r>
      <rPr>
        <vertAlign val="subscript"/>
        <sz val="10"/>
        <rFont val="Arial"/>
      </rPr>
      <t>upstream</t>
    </r>
  </si>
  <si>
    <t xml:space="preserve">Describe intended function of system (Is it standalone system designed for infiltration, is it integrated as part of the detention storage?)  </t>
  </si>
  <si>
    <t>Design soil infiltration rate (must be 0.5 in/hr or greater)</t>
  </si>
  <si>
    <t>Allowable depth of storage (distance below outflow invert plus depth of storage aggregate) = (i / 12 inches/ft * 48 hours)</t>
  </si>
  <si>
    <r>
      <t>D</t>
    </r>
    <r>
      <rPr>
        <vertAlign val="subscript"/>
        <sz val="10"/>
        <rFont val="Arial"/>
        <family val="2"/>
      </rPr>
      <t>allow</t>
    </r>
  </si>
  <si>
    <t>Elevation of bottom of BMP (the infiltration surface)</t>
  </si>
  <si>
    <t>Dimensions of the infiltration area (length, width, or area)</t>
  </si>
  <si>
    <r>
      <t>A</t>
    </r>
    <r>
      <rPr>
        <vertAlign val="subscript"/>
        <sz val="10"/>
        <rFont val="Arial"/>
      </rPr>
      <t>BMP</t>
    </r>
  </si>
  <si>
    <r>
      <t>Depth of open storage (distance between vault outflow invert and top of aggregate/infiltration bed (D</t>
    </r>
    <r>
      <rPr>
        <vertAlign val="subscript"/>
        <sz val="10"/>
        <rFont val="Arial"/>
        <family val="2"/>
      </rPr>
      <t>1</t>
    </r>
    <r>
      <rPr>
        <sz val="10"/>
        <rFont val="Arial"/>
      </rPr>
      <t xml:space="preserve"> plus D</t>
    </r>
    <r>
      <rPr>
        <vertAlign val="subscript"/>
        <sz val="10"/>
        <rFont val="Arial"/>
        <family val="2"/>
      </rPr>
      <t>2</t>
    </r>
    <r>
      <rPr>
        <sz val="10"/>
        <rFont val="Arial"/>
      </rPr>
      <t xml:space="preserve"> must be less than D</t>
    </r>
    <r>
      <rPr>
        <vertAlign val="subscript"/>
        <sz val="10"/>
        <rFont val="Arial"/>
        <family val="2"/>
      </rPr>
      <t>allow</t>
    </r>
    <r>
      <rPr>
        <sz val="10"/>
        <rFont val="Arial"/>
      </rPr>
      <t>)</t>
    </r>
  </si>
  <si>
    <r>
      <t>D</t>
    </r>
    <r>
      <rPr>
        <vertAlign val="subscript"/>
        <sz val="10"/>
        <rFont val="Arial"/>
      </rPr>
      <t>1</t>
    </r>
  </si>
  <si>
    <t xml:space="preserve">Depth of underlying aggregate </t>
  </si>
  <si>
    <r>
      <t>D</t>
    </r>
    <r>
      <rPr>
        <vertAlign val="subscript"/>
        <sz val="10"/>
        <rFont val="Arial"/>
      </rPr>
      <t>2</t>
    </r>
  </si>
  <si>
    <r>
      <t>P</t>
    </r>
    <r>
      <rPr>
        <vertAlign val="subscript"/>
        <sz val="10"/>
        <rFont val="Arial"/>
      </rPr>
      <t>2</t>
    </r>
  </si>
  <si>
    <r>
      <t>Storage applicable to volume control = (A</t>
    </r>
    <r>
      <rPr>
        <vertAlign val="subscript"/>
        <sz val="10"/>
        <rFont val="Arial"/>
      </rPr>
      <t>BMP</t>
    </r>
    <r>
      <rPr>
        <sz val="10"/>
        <rFont val="Arial"/>
      </rPr>
      <t xml:space="preserve"> * D</t>
    </r>
    <r>
      <rPr>
        <vertAlign val="subscript"/>
        <sz val="10"/>
        <rFont val="Arial"/>
        <family val="2"/>
      </rPr>
      <t>1</t>
    </r>
    <r>
      <rPr>
        <sz val="10"/>
        <rFont val="Arial"/>
      </rPr>
      <t>)+(A</t>
    </r>
    <r>
      <rPr>
        <vertAlign val="subscript"/>
        <sz val="10"/>
        <rFont val="Arial"/>
        <family val="2"/>
      </rPr>
      <t>BMP</t>
    </r>
    <r>
      <rPr>
        <sz val="10"/>
        <rFont val="Arial"/>
      </rPr>
      <t xml:space="preserve"> * D</t>
    </r>
    <r>
      <rPr>
        <vertAlign val="subscript"/>
        <sz val="10"/>
        <rFont val="Arial"/>
        <family val="2"/>
      </rPr>
      <t>2</t>
    </r>
    <r>
      <rPr>
        <sz val="10"/>
        <rFont val="Arial"/>
      </rPr>
      <t xml:space="preserve"> * P</t>
    </r>
    <r>
      <rPr>
        <vertAlign val="subscript"/>
        <sz val="10"/>
        <rFont val="Arial"/>
      </rPr>
      <t>2</t>
    </r>
    <r>
      <rPr>
        <sz val="10"/>
        <rFont val="Arial"/>
        <family val="2"/>
      </rPr>
      <t>)</t>
    </r>
  </si>
  <si>
    <r>
      <t>V</t>
    </r>
    <r>
      <rPr>
        <vertAlign val="subscript"/>
        <sz val="10"/>
        <rFont val="Arial"/>
      </rPr>
      <t>BMP</t>
    </r>
  </si>
  <si>
    <t>Volume of upstream runoff (Line 3)</t>
  </si>
  <si>
    <r>
      <t>Volume Control Storage Provided = V</t>
    </r>
    <r>
      <rPr>
        <vertAlign val="subscript"/>
        <sz val="10"/>
        <rFont val="Arial"/>
        <family val="2"/>
      </rPr>
      <t>BMP</t>
    </r>
  </si>
  <si>
    <t xml:space="preserve">2.1.5 Stormwater Trees </t>
  </si>
  <si>
    <t>Section 1 Impervious Areas and Trees</t>
  </si>
  <si>
    <t>List impervious surfaces that will be effectively reduced by implementation or preservation of trees</t>
  </si>
  <si>
    <t>Area (sf)</t>
  </si>
  <si>
    <t>Number of new trees within 20 feet</t>
  </si>
  <si>
    <t>Number of existing Trees within 20 feet</t>
  </si>
  <si>
    <t>Total canopy size of existing trees</t>
  </si>
  <si>
    <t>Area of Trees (New trees * 50 sf + existing tree canopy *0.5)</t>
  </si>
  <si>
    <t>Effective Impervious Area  for Volume Control = (Area - Trees Area)</t>
  </si>
  <si>
    <t>Pavement</t>
  </si>
  <si>
    <t>Ponds or wet bottom basins to HWL</t>
  </si>
  <si>
    <t>Section 2 Detailed Tree Listing</t>
  </si>
  <si>
    <t>List trees and attach plan showing location and sizes of all proposed trees
(Attach additional sheets if necessary)</t>
  </si>
  <si>
    <t>Species</t>
  </si>
  <si>
    <t>Caliper at 4.5 feet (must be &gt;2 inch)</t>
  </si>
  <si>
    <t>50% Canopy size (use 50 sq. ft. max)</t>
  </si>
  <si>
    <t>List trees and attach plan showing location and sizes of all trees to be preserved
(Attach additional sheets if necessary)</t>
  </si>
  <si>
    <t>Caliper at 4.5 feet (must be &gt;4 inch)</t>
  </si>
  <si>
    <t>Existing Canopy (sf)</t>
  </si>
  <si>
    <t xml:space="preserve">2.1.6 Permeable Pavement </t>
  </si>
  <si>
    <t>Upstream impervious area including area of permeable pavement</t>
  </si>
  <si>
    <t>Upstream weighted C-value (C-value=0.95 for permeable pavement areas for nearly direct rainfall)</t>
  </si>
  <si>
    <t xml:space="preserve">Describe intended function of system (Is it standalone system designed for infiltration, is integrated as part of the detention storage, is it underdrained to downstream system, will it receive upstream runoff?)  </t>
  </si>
  <si>
    <t>Allowable depth of storage aggregate without provision of underdrain (=i/ 12 inches/ft * 48 hours)</t>
  </si>
  <si>
    <t>Dimensions of the permeable pavement (length, width, or area)</t>
  </si>
  <si>
    <r>
      <t>Depth of underlying aggregate 
(must be less than D</t>
    </r>
    <r>
      <rPr>
        <vertAlign val="subscript"/>
        <sz val="10"/>
        <rFont val="Arial"/>
        <family val="2"/>
      </rPr>
      <t>allow</t>
    </r>
    <r>
      <rPr>
        <sz val="10"/>
        <rFont val="Arial"/>
        <family val="2"/>
      </rPr>
      <t>)</t>
    </r>
  </si>
  <si>
    <r>
      <t>P</t>
    </r>
    <r>
      <rPr>
        <vertAlign val="subscript"/>
        <sz val="10"/>
        <rFont val="Arial"/>
      </rPr>
      <t>1</t>
    </r>
  </si>
  <si>
    <r>
      <t>Volume of Aggregate storage applicable to volume control = A</t>
    </r>
    <r>
      <rPr>
        <vertAlign val="subscript"/>
        <sz val="10"/>
        <rFont val="Arial"/>
      </rPr>
      <t>BMP</t>
    </r>
    <r>
      <rPr>
        <sz val="10"/>
        <rFont val="Arial"/>
      </rPr>
      <t xml:space="preserve"> * D</t>
    </r>
    <r>
      <rPr>
        <vertAlign val="subscript"/>
        <sz val="10"/>
        <rFont val="Arial"/>
        <family val="2"/>
      </rPr>
      <t>1</t>
    </r>
    <r>
      <rPr>
        <sz val="10"/>
        <rFont val="Arial"/>
      </rPr>
      <t>*P</t>
    </r>
    <r>
      <rPr>
        <vertAlign val="subscript"/>
        <sz val="10"/>
        <rFont val="Arial"/>
      </rPr>
      <t>1</t>
    </r>
  </si>
  <si>
    <t>2.1.7 Roof Runoff BMPs - Planter Boxes</t>
  </si>
  <si>
    <t xml:space="preserve">Describe system (Will planter box include aggregate, does it drain to underlying soils, is it underdrained to the stormater management system) </t>
  </si>
  <si>
    <t>Design soil infiltration rate (must be 0.5 in/hr or greater if planter box is to drain to subsoil)</t>
  </si>
  <si>
    <t>Dimensions of the planter box (length, width, or area)</t>
  </si>
  <si>
    <t>Depth of surface storage</t>
  </si>
  <si>
    <r>
      <t>D</t>
    </r>
    <r>
      <rPr>
        <vertAlign val="subscript"/>
        <sz val="10"/>
        <rFont val="Arial"/>
        <family val="2"/>
      </rPr>
      <t>3</t>
    </r>
  </si>
  <si>
    <r>
      <t>P</t>
    </r>
    <r>
      <rPr>
        <vertAlign val="subscript"/>
        <sz val="10"/>
        <rFont val="Arial"/>
        <family val="2"/>
      </rPr>
      <t>3</t>
    </r>
  </si>
  <si>
    <r>
      <t>Air space storage volume (A</t>
    </r>
    <r>
      <rPr>
        <vertAlign val="subscript"/>
        <sz val="10"/>
        <rFont val="Arial"/>
        <family val="2"/>
      </rPr>
      <t>BMP</t>
    </r>
    <r>
      <rPr>
        <sz val="10"/>
        <rFont val="Arial"/>
      </rPr>
      <t xml:space="preserve"> * D</t>
    </r>
    <r>
      <rPr>
        <vertAlign val="subscript"/>
        <sz val="10"/>
        <rFont val="Arial"/>
        <family val="2"/>
      </rPr>
      <t>1</t>
    </r>
    <r>
      <rPr>
        <sz val="10"/>
        <rFont val="Arial"/>
      </rPr>
      <t>)</t>
    </r>
  </si>
  <si>
    <r>
      <t>Planter box soil media storage volume = A</t>
    </r>
    <r>
      <rPr>
        <vertAlign val="subscript"/>
        <sz val="10"/>
        <rFont val="Arial"/>
        <family val="2"/>
      </rPr>
      <t>BMP</t>
    </r>
    <r>
      <rPr>
        <sz val="10"/>
        <rFont val="Arial"/>
      </rPr>
      <t xml:space="preserve"> * [(D</t>
    </r>
    <r>
      <rPr>
        <vertAlign val="subscript"/>
        <sz val="10"/>
        <rFont val="Arial"/>
        <family val="2"/>
      </rPr>
      <t>2</t>
    </r>
    <r>
      <rPr>
        <sz val="10"/>
        <rFont val="Arial"/>
      </rPr>
      <t xml:space="preserve"> * P</t>
    </r>
    <r>
      <rPr>
        <vertAlign val="subscript"/>
        <sz val="10"/>
        <rFont val="Arial"/>
        <family val="2"/>
      </rPr>
      <t>2</t>
    </r>
    <r>
      <rPr>
        <sz val="10"/>
        <rFont val="Arial"/>
      </rPr>
      <t>) + (D</t>
    </r>
    <r>
      <rPr>
        <vertAlign val="subscript"/>
        <sz val="10"/>
        <rFont val="Arial"/>
        <family val="2"/>
      </rPr>
      <t>3</t>
    </r>
    <r>
      <rPr>
        <sz val="10"/>
        <rFont val="Arial"/>
      </rPr>
      <t xml:space="preserve"> * P</t>
    </r>
    <r>
      <rPr>
        <vertAlign val="subscript"/>
        <sz val="10"/>
        <rFont val="Arial"/>
        <family val="2"/>
      </rPr>
      <t>3</t>
    </r>
    <r>
      <rPr>
        <sz val="10"/>
        <rFont val="Arial"/>
      </rPr>
      <t>)]</t>
    </r>
  </si>
  <si>
    <t>2.1.7 Roof Runoff BMPs - Rain Barrels / Cisterns</t>
  </si>
  <si>
    <t xml:space="preserve">Describe system (Wwhat are the sizes and numbers of rain barrels or cisterns?) </t>
  </si>
  <si>
    <t>Section 2 BMP Specifications</t>
  </si>
  <si>
    <t>List Rain Barrels and attach plan showing location and sizes of all rain barrels
(Attach additional sheets if necessary)</t>
  </si>
  <si>
    <t>Number / Designation</t>
  </si>
  <si>
    <t>Volume</t>
  </si>
  <si>
    <t>Total capacity of rain barrels</t>
  </si>
  <si>
    <r>
      <t>V</t>
    </r>
    <r>
      <rPr>
        <vertAlign val="subscript"/>
        <sz val="10"/>
        <rFont val="Arial"/>
        <family val="2"/>
      </rPr>
      <t>RB</t>
    </r>
  </si>
  <si>
    <t>List Cisterns and attach plan showing location and sizes of all cisterns.
(Attach additional sheets if necessary)</t>
  </si>
  <si>
    <r>
      <t>V</t>
    </r>
    <r>
      <rPr>
        <vertAlign val="subscript"/>
        <sz val="10"/>
        <rFont val="Arial"/>
        <family val="2"/>
      </rPr>
      <t>CIS</t>
    </r>
  </si>
  <si>
    <t>Total capacity of rain barrels or cisterns</t>
  </si>
  <si>
    <r>
      <t>V</t>
    </r>
    <r>
      <rPr>
        <vertAlign val="subscript"/>
        <sz val="10"/>
        <rFont val="Arial"/>
        <family val="2"/>
      </rPr>
      <t>BMP</t>
    </r>
    <r>
      <rPr>
        <sz val="10"/>
        <rFont val="Arial"/>
      </rPr>
      <t xml:space="preserve"> = V</t>
    </r>
    <r>
      <rPr>
        <vertAlign val="subscript"/>
        <sz val="10"/>
        <rFont val="Arial"/>
        <family val="2"/>
      </rPr>
      <t>RB</t>
    </r>
    <r>
      <rPr>
        <sz val="10"/>
        <rFont val="Arial"/>
      </rPr>
      <t xml:space="preserve"> + V</t>
    </r>
    <r>
      <rPr>
        <vertAlign val="subscript"/>
        <sz val="10"/>
        <rFont val="Arial"/>
        <family val="2"/>
      </rPr>
      <t>CIS</t>
    </r>
  </si>
  <si>
    <r>
      <t>Storage Provided = V</t>
    </r>
    <r>
      <rPr>
        <vertAlign val="subscript"/>
        <sz val="10"/>
        <rFont val="Arial"/>
        <family val="2"/>
      </rPr>
      <t>BMP</t>
    </r>
  </si>
  <si>
    <t>2.1.8 Filter Strips Worksheet</t>
  </si>
  <si>
    <t>Elevation of filter strip surface</t>
  </si>
  <si>
    <t>Dimensions of the filter strip [length L (length parallel to flow must be 20% or greater than the DA flowpath), width W, slope]</t>
  </si>
  <si>
    <t>Slope (1% to 5%)</t>
  </si>
  <si>
    <r>
      <t>Check effective tributary flow length (must be less than 75 feet and level spreader required if not a uniformly sloping surface) Effective flow path of drainage area = A</t>
    </r>
    <r>
      <rPr>
        <vertAlign val="subscript"/>
        <sz val="10"/>
        <rFont val="Arial"/>
        <family val="2"/>
      </rPr>
      <t>i</t>
    </r>
    <r>
      <rPr>
        <sz val="10"/>
        <rFont val="Arial"/>
      </rPr>
      <t>/W</t>
    </r>
  </si>
  <si>
    <t>DA Flowpath</t>
  </si>
  <si>
    <t>If minimum design requirements are met, compute minimum impervious area for which swale serves as volume control.  Impervious Area controlled = Filter strip area  (L * W)</t>
  </si>
  <si>
    <t>Impervious Area Controlled</t>
  </si>
  <si>
    <t>Volume of upstream impervious area runoff (Line 2)</t>
  </si>
  <si>
    <t>Equivalent Volume Control Storage  (V = Area Controlled * 0.5 / 12)</t>
  </si>
  <si>
    <t>2.1.9 Oversized Detention Worksheet</t>
  </si>
  <si>
    <t>You must first complete Tab 1.0 Rate Control and Tab 2.0 Volume Control worksheets to use this Oversized Detention Worksheet.</t>
  </si>
  <si>
    <t>Oversized Detention Computation</t>
  </si>
  <si>
    <t>Units</t>
  </si>
  <si>
    <t>Maximum Release Rate for Rate Control (automatically entered from cell G72 on Rate Control worksheet)</t>
  </si>
  <si>
    <t>Rate Control Storage</t>
  </si>
  <si>
    <t>Volume Control Storage</t>
  </si>
  <si>
    <t>Total Storage Required for oversized detention</t>
  </si>
  <si>
    <t xml:space="preserve">Try reducing release rate here until total required storage in oversized detention facility is achieved. </t>
  </si>
  <si>
    <t>Total Storage Provided</t>
  </si>
  <si>
    <t xml:space="preserve">Oversized Detention Calculation </t>
  </si>
  <si>
    <t>Infow</t>
  </si>
  <si>
    <t>Required Detention Vol (cf)</t>
  </si>
  <si>
    <t xml:space="preserve">2.1 BMP Volume Summary </t>
  </si>
  <si>
    <t>City of Chicago Stormwater Management</t>
  </si>
  <si>
    <t>Summary of Volume Control BMP Storage</t>
  </si>
  <si>
    <t>(Adds net allowable volume control storage from all worksheets)</t>
  </si>
  <si>
    <t>Volume Control Storage Provided (cubic feet)</t>
  </si>
  <si>
    <t>Detention (Infiltration Vaults)</t>
  </si>
  <si>
    <t>Natural Landscaping and Stormwater Trees</t>
  </si>
  <si>
    <t>Vegetated Filter Strips</t>
  </si>
  <si>
    <t>Total Provided</t>
  </si>
  <si>
    <t>Storage Required if % Impervious Reduction is not met
(from 2.0 Volume Control)</t>
  </si>
  <si>
    <t>3.0 Sustainable Development Policy</t>
  </si>
  <si>
    <t>Chicago Sustainable Development Policy Stormwater Spreadsheet Summary</t>
  </si>
  <si>
    <t>This summary worksheet provides information related to the Chicago Sustainable Development Policy, updated 2017.</t>
  </si>
  <si>
    <t>The six sustainable development strategies related to stormwater are listed below with a detailed explanation of each strategy.</t>
  </si>
  <si>
    <t>Not all projects within the City of Chicago are requried to comply with the Sustainable Development Policy.  Check with the project</t>
  </si>
  <si>
    <t>design team or the Department of Planning and Development to determine applicability.</t>
  </si>
  <si>
    <t>To qualify for these strategies, the project must be a regulated development under the Stormwater Ordinance, except for strategy 3.4 Sump Pump Capture &amp; Reuse.</t>
  </si>
  <si>
    <t>Type "Yes" to Select Strategy</t>
  </si>
  <si>
    <t>Sustainable Development Strategy</t>
  </si>
  <si>
    <t>Points</t>
  </si>
  <si>
    <t>Explanation of Strategy</t>
  </si>
  <si>
    <t>Instructions</t>
  </si>
  <si>
    <t>Points Attempted</t>
  </si>
  <si>
    <t>3.1 Exceed Stormwater Ordinance by 25%</t>
  </si>
  <si>
    <t>The stormwater management plan must provide storage for 125% of the volume required by both the Rate Control and Volume Control components of the City of Chicago’s Stormwater Ordinance.  Rate Control: The required Rate Control volume is calculated in the typical manner. Storage must be provided for 125% of this required volume. The release rate must be reduced in order to completely fill the volume provided.  Volume Control: The required Volume Control volume is calculated in the typical manner. Storage must be provided for 125% of this required volume. This strategy does not apply when the Volume Control requirement is met through a 15% impervious area reduction.</t>
  </si>
  <si>
    <t>3.2 Exceed Stormwater Ordinance by 50%</t>
  </si>
  <si>
    <t>The stormwater management plan must provide storage for 150% of the volume required by both the Rate Control and Volume Control components of the City of Chicago’s Stormwater Ordinance.  Rate Control: The required Rate Control volume is calculated in the typical manner. Storage must be provided for 150% of this require volume. The release rate must be reduced in order to completely fill the volume provided.  Volume Control: The required Volume Control volume is calculated in the typical manner. Storage must be provided for 150% of this required volume. This strategy does not apply when the Volume Control requirement is met through a 15% impervious area reduction.</t>
  </si>
  <si>
    <t>3.3 100% Stormwater Infiltration</t>
  </si>
  <si>
    <t>The stormwater management plan must manage stormwater by discharging 100% of the stormwater into the ground through infiltration or by a combination of infiltration and stormwater capture and re-use. Geotechnical investigation including soil borings and infiltration testing will be required to confirm the presence of sandy soil on the site and establish an adequate infiltration rate. No stormwater discharge to the combined sewer system, Waters or adjacent property will be allowed for any storm less than a 100-year critical duration storm.</t>
  </si>
  <si>
    <t>3.4 Sump Pump Capture &amp; Reuse</t>
  </si>
  <si>
    <t xml:space="preserve">The stormwater management plan must indicate that all sump pumps will be discharged to an infiltration BMP, a stormwater capture and re-use facility or the detention system. </t>
  </si>
  <si>
    <t>3.5 100-year Detention for Lot-to-lot Buildings</t>
  </si>
  <si>
    <t>For a lot-to-lot building, provide detention (Rate Control) for the 100-year storm instead of the 10-year storm. A lot-to-lot building is defined as a building with 85% or more lot coverage.</t>
  </si>
  <si>
    <t>3.6 100-year Detention for Bypass</t>
  </si>
  <si>
    <t>For sites with significant off-site tributary flow, provide detention (Rate Control) for the 100-year storm instead of the 25-year storm.</t>
  </si>
  <si>
    <t>Total Points Attempted</t>
  </si>
  <si>
    <t>You must first complete Tab 1.0 Rate Control and Tab 3.0 Sustainable Development Policy worksheets to use this worksheet.</t>
  </si>
  <si>
    <t>Exceed Detention Computation</t>
  </si>
  <si>
    <t>Maximum Release Rate for Rate Control (automatically entered from cell G73 on Rate Control worksheet)</t>
  </si>
  <si>
    <t>Rate Control Storage to meet the Stormwater Ordinance</t>
  </si>
  <si>
    <t>Percent exceeding</t>
  </si>
  <si>
    <t>Total Rate Control Storage Required to exceed the Stormwater Ordinance</t>
  </si>
  <si>
    <t xml:space="preserve">Exceed Detention Calculation </t>
  </si>
  <si>
    <t>Area</t>
  </si>
  <si>
    <t>A</t>
  </si>
  <si>
    <t>(minute)</t>
  </si>
  <si>
    <t>You must first complete Tab 2.0 Volume Control and Tab 3.0 Sustainable Development Policy worksheets to use this worksheet.</t>
  </si>
  <si>
    <t>Exceed Volume Control Computation</t>
  </si>
  <si>
    <t>Volume Control Storage to meet the Stormwater Ordinance</t>
  </si>
  <si>
    <t>Total Volume Control Storage Required to exceed the Stormwater Ordinance</t>
  </si>
  <si>
    <t>(FOR COMPUTATIONS AND REFERENCE)</t>
  </si>
  <si>
    <t>City of Chicago Intensity-Duration-Frequency (IDF) Curve</t>
  </si>
  <si>
    <t>(Based Bulletin 75 Rainfall Data)</t>
  </si>
  <si>
    <t>Storm Event in Years</t>
  </si>
  <si>
    <t>5-Year</t>
  </si>
  <si>
    <t>10-Year</t>
  </si>
  <si>
    <t>25-Year</t>
  </si>
  <si>
    <t>50-Year</t>
  </si>
  <si>
    <t>100-Year</t>
  </si>
  <si>
    <t>20% Annual Chance</t>
  </si>
  <si>
    <t>10% Annual Chance</t>
  </si>
  <si>
    <t>4% Annual Chance</t>
  </si>
  <si>
    <t>2% Annual Chance</t>
  </si>
  <si>
    <t>1% Annual Chance</t>
  </si>
  <si>
    <t>Storm Duration (min)</t>
  </si>
  <si>
    <t>Rainfall (in)</t>
  </si>
  <si>
    <t>Average Intensity (in/hr)</t>
  </si>
  <si>
    <t>5 minute</t>
  </si>
  <si>
    <t>10 minute</t>
  </si>
  <si>
    <t>15 minute</t>
  </si>
  <si>
    <t>30 minute</t>
  </si>
  <si>
    <t>1 hour</t>
  </si>
  <si>
    <t>2 hours</t>
  </si>
  <si>
    <t>3 hours</t>
  </si>
  <si>
    <t>6 hours</t>
  </si>
  <si>
    <t>12 hours</t>
  </si>
  <si>
    <t>18 hours</t>
  </si>
  <si>
    <t>24 hours</t>
  </si>
  <si>
    <t>48 hours</t>
  </si>
  <si>
    <t>72 hours</t>
  </si>
  <si>
    <t>5 days</t>
  </si>
  <si>
    <t>10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</si>
</sst>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
    <numFmt numFmtId="165" formatCode="0.000"/>
    <numFmt numFmtId="166" formatCode="#,##0.0"/>
    <numFmt numFmtId="167" formatCode="0.0000"/>
    <numFmt numFmtId="168" formatCode="#,##0.000"/>
    <numFmt numFmtId="169" formatCode="m/d/yy;@"/>
    <numFmt numFmtId="170" formatCode="0.0000%"/>
  </numFmts>
  <fonts count="48">
    <font>
      <sz val="10"/>
      <name val="Arial"/>
    </font>
    <font>
      <sz val="10"/>
      <name val="Arial"/>
    </font>
    <font>
      <b/>
      <sz val="16"/>
      <name val="Arial"/>
      <family val="2"/>
    </font>
    <font>
      <sz val="10"/>
      <color indexed="23"/>
      <name val="Arial"/>
      <family val="2"/>
    </font>
    <font>
      <b/>
      <u/>
      <sz val="10"/>
      <name val="Arial"/>
      <family val="2"/>
    </font>
    <font>
      <b/>
      <sz val="10"/>
      <name val="Arial"/>
      <family val="2"/>
    </font>
    <font>
      <sz val="10"/>
      <name val="Arial"/>
      <family val="2"/>
    </font>
    <font>
      <sz val="16"/>
      <name val="Arial"/>
      <family val="2"/>
    </font>
    <font>
      <sz val="10"/>
      <color indexed="10"/>
      <name val="Arial"/>
      <family val="2"/>
    </font>
    <font>
      <b/>
      <u/>
      <sz val="12"/>
      <name val="Arial"/>
      <family val="2"/>
    </font>
    <font>
      <sz val="10"/>
      <name val="Times New Roman"/>
      <family val="1"/>
    </font>
    <font>
      <u/>
      <sz val="10"/>
      <name val="Times New Roman"/>
      <family val="1"/>
    </font>
    <font>
      <i/>
      <sz val="10"/>
      <name val="Arial"/>
      <family val="2"/>
    </font>
    <font>
      <b/>
      <sz val="10"/>
      <name val="Times New Roman"/>
      <family val="1"/>
    </font>
    <font>
      <b/>
      <sz val="10"/>
      <name val="Arial"/>
    </font>
    <font>
      <b/>
      <sz val="10"/>
      <color indexed="9"/>
      <name val="Arial"/>
      <family val="2"/>
    </font>
    <font>
      <sz val="10"/>
      <color indexed="9"/>
      <name val="Arial"/>
      <family val="2"/>
    </font>
    <font>
      <sz val="10"/>
      <name val="Myriad Pro"/>
    </font>
    <font>
      <b/>
      <sz val="10"/>
      <name val="Myriad Pro"/>
    </font>
    <font>
      <b/>
      <sz val="12"/>
      <color indexed="8"/>
      <name val="Arial"/>
      <family val="2"/>
    </font>
    <font>
      <vertAlign val="superscript"/>
      <sz val="10"/>
      <name val="Arial"/>
      <family val="2"/>
    </font>
    <font>
      <b/>
      <vertAlign val="superscript"/>
      <sz val="10"/>
      <name val="Arial"/>
      <family val="2"/>
    </font>
    <font>
      <b/>
      <sz val="8"/>
      <color indexed="81"/>
      <name val="Tahoma"/>
    </font>
    <font>
      <sz val="8"/>
      <color indexed="81"/>
      <name val="Tahoma"/>
      <family val="2"/>
    </font>
    <font>
      <sz val="10"/>
      <color indexed="57"/>
      <name val="Arial"/>
      <family val="2"/>
    </font>
    <font>
      <sz val="6"/>
      <name val="Arial"/>
      <family val="2"/>
    </font>
    <font>
      <b/>
      <sz val="14"/>
      <name val="Arial"/>
      <family val="2"/>
    </font>
    <font>
      <sz val="8"/>
      <color indexed="81"/>
      <name val="Tahoma"/>
    </font>
    <font>
      <b/>
      <sz val="12"/>
      <name val="Arial"/>
      <family val="2"/>
    </font>
    <font>
      <vertAlign val="subscript"/>
      <sz val="10"/>
      <name val="Arial"/>
      <family val="2"/>
    </font>
    <font>
      <b/>
      <sz val="12"/>
      <name val="Arial"/>
    </font>
    <font>
      <vertAlign val="subscript"/>
      <sz val="10"/>
      <name val="Arial"/>
    </font>
    <font>
      <b/>
      <i/>
      <sz val="10"/>
      <color indexed="10"/>
      <name val="Arial"/>
      <family val="2"/>
    </font>
    <font>
      <sz val="10"/>
      <color indexed="8"/>
      <name val="Arial"/>
      <family val="2"/>
    </font>
    <font>
      <sz val="10"/>
      <color indexed="10"/>
      <name val="Arial"/>
    </font>
    <font>
      <b/>
      <sz val="8"/>
      <name val="Arial"/>
      <family val="2"/>
    </font>
    <font>
      <u/>
      <sz val="10"/>
      <name val="Arial"/>
    </font>
    <font>
      <sz val="9"/>
      <name val="Arial"/>
      <family val="2"/>
    </font>
    <font>
      <b/>
      <sz val="8"/>
      <color indexed="81"/>
      <name val="Tahoma"/>
      <family val="2"/>
    </font>
    <font>
      <b/>
      <sz val="9"/>
      <name val="Arial"/>
      <family val="2"/>
    </font>
    <font>
      <sz val="12"/>
      <name val="Arial"/>
      <family val="2"/>
    </font>
    <font>
      <b/>
      <sz val="10"/>
      <color indexed="10"/>
      <name val="Arial"/>
      <family val="2"/>
    </font>
    <font>
      <sz val="10"/>
      <color indexed="9"/>
      <name val="Arial"/>
    </font>
    <font>
      <sz val="8"/>
      <color indexed="81"/>
      <name val="Tahoma"/>
      <charset val="1"/>
    </font>
    <font>
      <b/>
      <sz val="8"/>
      <color indexed="81"/>
      <name val="Tahoma"/>
      <charset val="1"/>
    </font>
    <font>
      <sz val="8"/>
      <name val="Arial"/>
      <family val="2"/>
    </font>
    <font>
      <b/>
      <sz val="9"/>
      <color indexed="81"/>
      <name val="Tahoma"/>
      <family val="2"/>
    </font>
    <font>
      <b/>
      <sz val="10"/>
      <color rgb="FFFF0000"/>
      <name val="Arial"/>
      <family val="2"/>
    </font>
  </fonts>
  <fills count="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22"/>
        <bgColor indexed="64"/>
      </patternFill>
    </fill>
  </fills>
  <borders count="5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double">
        <color indexed="64"/>
      </right>
      <top/>
      <bottom/>
      <diagonal/>
    </border>
    <border>
      <left style="double">
        <color indexed="64"/>
      </left>
      <right/>
      <top/>
      <bottom style="medium">
        <color indexed="64"/>
      </bottom>
      <diagonal/>
    </border>
    <border>
      <left style="thin">
        <color indexed="64"/>
      </left>
      <right style="medium">
        <color indexed="64"/>
      </right>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double">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10">
    <xf numFmtId="0" fontId="0" fillId="0" borderId="0" xfId="0"/>
    <xf numFmtId="0" fontId="2" fillId="0" borderId="0" xfId="0" applyFont="1"/>
    <xf numFmtId="0" fontId="3" fillId="0" borderId="0" xfId="0" applyFont="1"/>
    <xf numFmtId="0" fontId="3" fillId="2" borderId="0" xfId="0" applyFont="1" applyFill="1"/>
    <xf numFmtId="0" fontId="4" fillId="2" borderId="0" xfId="0" applyFont="1" applyFill="1"/>
    <xf numFmtId="0" fontId="0" fillId="2" borderId="0" xfId="0" applyFill="1"/>
    <xf numFmtId="0" fontId="6" fillId="2" borderId="0" xfId="0" applyFont="1" applyFill="1"/>
    <xf numFmtId="0" fontId="6" fillId="0" borderId="0" xfId="0" applyFont="1"/>
    <xf numFmtId="0" fontId="6" fillId="2" borderId="1" xfId="0" applyFont="1" applyFill="1" applyBorder="1"/>
    <xf numFmtId="0" fontId="6" fillId="2" borderId="0" xfId="0" applyFont="1" applyFill="1" applyAlignment="1">
      <alignment horizontal="center" vertical="center"/>
    </xf>
    <xf numFmtId="0" fontId="6" fillId="2" borderId="2" xfId="0" applyFont="1" applyFill="1" applyBorder="1"/>
    <xf numFmtId="0" fontId="7" fillId="0" borderId="0" xfId="0" applyFont="1"/>
    <xf numFmtId="0" fontId="5" fillId="0" borderId="0" xfId="0" applyFont="1" applyAlignment="1">
      <alignment vertical="center"/>
    </xf>
    <xf numFmtId="2" fontId="6" fillId="0" borderId="0" xfId="0" applyNumberFormat="1" applyFont="1" applyAlignment="1" applyProtection="1">
      <alignment horizontal="center"/>
      <protection locked="0"/>
    </xf>
    <xf numFmtId="2" fontId="6" fillId="2" borderId="0" xfId="0" applyNumberFormat="1" applyFont="1" applyFill="1"/>
    <xf numFmtId="0" fontId="5" fillId="0" borderId="0" xfId="0" applyFont="1" applyAlignment="1">
      <alignment wrapText="1"/>
    </xf>
    <xf numFmtId="0" fontId="0" fillId="0" borderId="3" xfId="0" applyBorder="1"/>
    <xf numFmtId="0" fontId="0" fillId="0" borderId="4" xfId="0" applyBorder="1"/>
    <xf numFmtId="1" fontId="6" fillId="0" borderId="0" xfId="0" applyNumberFormat="1" applyFont="1" applyAlignment="1">
      <alignment horizontal="center"/>
    </xf>
    <xf numFmtId="1" fontId="6" fillId="0" borderId="0" xfId="1" applyNumberFormat="1" applyFont="1" applyFill="1" applyBorder="1" applyAlignment="1">
      <alignment horizontal="center"/>
    </xf>
    <xf numFmtId="0" fontId="4" fillId="0" borderId="0" xfId="0" applyFont="1" applyAlignment="1">
      <alignment wrapText="1"/>
    </xf>
    <xf numFmtId="0" fontId="5" fillId="2" borderId="0" xfId="0" applyFont="1" applyFill="1"/>
    <xf numFmtId="0" fontId="4" fillId="0" borderId="0" xfId="0" applyFont="1"/>
    <xf numFmtId="0" fontId="5" fillId="0" borderId="0" xfId="0" applyFont="1"/>
    <xf numFmtId="0" fontId="6" fillId="0" borderId="0" xfId="0" applyFont="1" applyAlignment="1">
      <alignment horizontal="right" vertical="top"/>
    </xf>
    <xf numFmtId="0" fontId="6" fillId="0" borderId="0" xfId="0" applyFont="1" applyAlignment="1">
      <alignment horizontal="left" wrapText="1"/>
    </xf>
    <xf numFmtId="0" fontId="6" fillId="2" borderId="1" xfId="0" applyFont="1" applyFill="1" applyBorder="1" applyAlignment="1">
      <alignment wrapText="1"/>
    </xf>
    <xf numFmtId="0" fontId="6" fillId="0" borderId="2" xfId="0" applyFont="1" applyBorder="1" applyAlignment="1">
      <alignment wrapText="1"/>
    </xf>
    <xf numFmtId="0" fontId="7" fillId="0" borderId="0" xfId="0" applyFont="1" applyAlignment="1">
      <alignment horizontal="right"/>
    </xf>
    <xf numFmtId="0" fontId="1" fillId="0" borderId="0" xfId="0" applyFont="1"/>
    <xf numFmtId="0" fontId="9" fillId="2" borderId="0" xfId="0" applyFont="1" applyFill="1"/>
    <xf numFmtId="0" fontId="10" fillId="2" borderId="0" xfId="0" applyFont="1" applyFill="1"/>
    <xf numFmtId="0" fontId="10" fillId="2" borderId="0" xfId="0" applyFont="1" applyFill="1" applyAlignment="1">
      <alignment horizontal="center"/>
    </xf>
    <xf numFmtId="0" fontId="11" fillId="2" borderId="0" xfId="0" applyFont="1" applyFill="1"/>
    <xf numFmtId="0" fontId="6" fillId="2" borderId="0" xfId="0" applyFont="1" applyFill="1" applyAlignment="1">
      <alignment horizontal="left" wrapText="1"/>
    </xf>
    <xf numFmtId="0" fontId="6" fillId="0" borderId="2" xfId="0" applyFont="1" applyBorder="1" applyAlignment="1">
      <alignment horizontal="center"/>
    </xf>
    <xf numFmtId="0" fontId="6" fillId="0" borderId="2" xfId="0" applyFont="1" applyBorder="1"/>
    <xf numFmtId="3" fontId="6" fillId="3" borderId="2" xfId="0" applyNumberFormat="1" applyFont="1" applyFill="1" applyBorder="1" applyAlignment="1" applyProtection="1">
      <alignment horizontal="center"/>
      <protection locked="0"/>
    </xf>
    <xf numFmtId="1" fontId="6" fillId="0" borderId="0" xfId="0" applyNumberFormat="1" applyFont="1"/>
    <xf numFmtId="3" fontId="6" fillId="0" borderId="2" xfId="0" applyNumberFormat="1" applyFont="1" applyBorder="1" applyAlignment="1">
      <alignment horizontal="center"/>
    </xf>
    <xf numFmtId="0" fontId="6" fillId="0" borderId="1" xfId="0" applyFont="1" applyBorder="1" applyAlignment="1">
      <alignment vertical="top" wrapText="1"/>
    </xf>
    <xf numFmtId="0" fontId="8" fillId="3" borderId="2" xfId="0" applyFont="1" applyFill="1" applyBorder="1" applyAlignment="1">
      <alignment horizontal="center" vertical="top"/>
    </xf>
    <xf numFmtId="0" fontId="10" fillId="0" borderId="2" xfId="0" applyFont="1" applyBorder="1" applyAlignment="1">
      <alignment horizontal="center"/>
    </xf>
    <xf numFmtId="0" fontId="5" fillId="0" borderId="2" xfId="0" applyFont="1" applyBorder="1" applyAlignment="1">
      <alignment horizontal="center" wrapText="1"/>
    </xf>
    <xf numFmtId="165" fontId="0" fillId="4" borderId="2" xfId="0" applyNumberFormat="1" applyFill="1" applyBorder="1" applyAlignment="1">
      <alignment horizontal="center"/>
    </xf>
    <xf numFmtId="0" fontId="13" fillId="2" borderId="0" xfId="0" applyFont="1" applyFill="1" applyAlignment="1">
      <alignment horizontal="center"/>
    </xf>
    <xf numFmtId="0" fontId="15" fillId="0" borderId="0" xfId="0" applyFont="1" applyAlignment="1">
      <alignment horizontal="center" vertical="center"/>
    </xf>
    <xf numFmtId="2" fontId="16" fillId="0" borderId="0" xfId="0" applyNumberFormat="1" applyFont="1" applyAlignment="1">
      <alignment horizontal="center"/>
    </xf>
    <xf numFmtId="0" fontId="6" fillId="0" borderId="0" xfId="0" applyFont="1" applyAlignment="1">
      <alignment horizontal="left" vertical="top" wrapText="1"/>
    </xf>
    <xf numFmtId="0" fontId="13" fillId="2" borderId="5" xfId="0" applyFont="1" applyFill="1" applyBorder="1" applyAlignment="1">
      <alignment horizontal="center"/>
    </xf>
    <xf numFmtId="0" fontId="13" fillId="2" borderId="6" xfId="0" applyFont="1" applyFill="1" applyBorder="1" applyAlignment="1">
      <alignment horizontal="center"/>
    </xf>
    <xf numFmtId="0" fontId="13" fillId="2" borderId="7" xfId="0" applyFont="1" applyFill="1" applyBorder="1" applyAlignment="1">
      <alignment horizontal="center"/>
    </xf>
    <xf numFmtId="4" fontId="6" fillId="2" borderId="2" xfId="0" applyNumberFormat="1" applyFont="1" applyFill="1" applyBorder="1" applyAlignment="1">
      <alignment horizontal="center"/>
    </xf>
    <xf numFmtId="0" fontId="1" fillId="2" borderId="0" xfId="0" applyFont="1" applyFill="1"/>
    <xf numFmtId="0" fontId="1" fillId="2" borderId="0" xfId="0" applyFont="1" applyFill="1" applyAlignment="1">
      <alignment horizontal="center"/>
    </xf>
    <xf numFmtId="0" fontId="1" fillId="2" borderId="8" xfId="0" applyFont="1" applyFill="1" applyBorder="1"/>
    <xf numFmtId="0" fontId="1" fillId="2" borderId="9" xfId="0" applyFont="1" applyFill="1" applyBorder="1"/>
    <xf numFmtId="0" fontId="1" fillId="2" borderId="10" xfId="0" applyFont="1" applyFill="1" applyBorder="1"/>
    <xf numFmtId="2" fontId="1" fillId="2" borderId="2" xfId="0" applyNumberFormat="1" applyFont="1" applyFill="1" applyBorder="1" applyAlignment="1">
      <alignment horizontal="center"/>
    </xf>
    <xf numFmtId="165" fontId="1" fillId="2" borderId="2" xfId="0" applyNumberFormat="1" applyFont="1" applyFill="1" applyBorder="1" applyAlignment="1">
      <alignment horizontal="center"/>
    </xf>
    <xf numFmtId="3" fontId="1" fillId="2" borderId="2" xfId="0" applyNumberFormat="1" applyFont="1" applyFill="1" applyBorder="1" applyAlignment="1">
      <alignment horizontal="center"/>
    </xf>
    <xf numFmtId="4" fontId="1" fillId="2" borderId="2" xfId="0" applyNumberFormat="1" applyFont="1" applyFill="1" applyBorder="1" applyAlignment="1">
      <alignment horizontal="center"/>
    </xf>
    <xf numFmtId="3" fontId="1" fillId="2" borderId="0" xfId="0" applyNumberFormat="1" applyFont="1" applyFill="1" applyAlignment="1">
      <alignment horizontal="center"/>
    </xf>
    <xf numFmtId="0" fontId="17" fillId="0" borderId="2" xfId="0" applyFont="1" applyBorder="1" applyAlignment="1">
      <alignment horizontal="justify"/>
    </xf>
    <xf numFmtId="0" fontId="17" fillId="0" borderId="2" xfId="0" applyFont="1" applyBorder="1" applyAlignment="1">
      <alignment horizontal="center"/>
    </xf>
    <xf numFmtId="0" fontId="18" fillId="0" borderId="0" xfId="0" applyFont="1" applyAlignment="1">
      <alignment horizontal="right"/>
    </xf>
    <xf numFmtId="0" fontId="17" fillId="0" borderId="11" xfId="0" applyFont="1" applyBorder="1" applyAlignment="1">
      <alignment horizontal="center"/>
    </xf>
    <xf numFmtId="0" fontId="19" fillId="0" borderId="0" xfId="0" applyFont="1"/>
    <xf numFmtId="0" fontId="6" fillId="0" borderId="2" xfId="0" applyFont="1" applyBorder="1" applyAlignment="1">
      <alignment vertical="top" wrapText="1"/>
    </xf>
    <xf numFmtId="0" fontId="6" fillId="0" borderId="0" xfId="0" applyFont="1" applyAlignment="1">
      <alignment vertical="top" wrapText="1"/>
    </xf>
    <xf numFmtId="0" fontId="14" fillId="0" borderId="0" xfId="0" applyFont="1" applyAlignment="1">
      <alignment horizontal="center"/>
    </xf>
    <xf numFmtId="0" fontId="6" fillId="0" borderId="0" xfId="0" applyFont="1" applyAlignment="1">
      <alignment wrapText="1"/>
    </xf>
    <xf numFmtId="2" fontId="5" fillId="0" borderId="9" xfId="0" applyNumberFormat="1" applyFont="1" applyBorder="1"/>
    <xf numFmtId="0" fontId="14" fillId="0" borderId="0" xfId="0" applyFont="1" applyAlignment="1">
      <alignment vertical="center"/>
    </xf>
    <xf numFmtId="0" fontId="14" fillId="0" borderId="0" xfId="0" applyFont="1" applyAlignment="1">
      <alignment horizontal="center" vertical="center"/>
    </xf>
    <xf numFmtId="2" fontId="6" fillId="0" borderId="0" xfId="0" applyNumberFormat="1" applyFont="1" applyAlignment="1">
      <alignment horizontal="center"/>
    </xf>
    <xf numFmtId="0" fontId="0" fillId="0" borderId="2" xfId="0" applyBorder="1"/>
    <xf numFmtId="0" fontId="6" fillId="2" borderId="2" xfId="0" applyFont="1" applyFill="1" applyBorder="1" applyAlignment="1">
      <alignment wrapText="1"/>
    </xf>
    <xf numFmtId="0" fontId="0" fillId="0" borderId="2" xfId="0" applyBorder="1" applyAlignment="1">
      <alignment wrapText="1"/>
    </xf>
    <xf numFmtId="0" fontId="0" fillId="0" borderId="2" xfId="0" applyBorder="1" applyAlignment="1">
      <alignment horizontal="left" wrapText="1"/>
    </xf>
    <xf numFmtId="0" fontId="0" fillId="0" borderId="2" xfId="0" applyBorder="1" applyAlignment="1">
      <alignment horizontal="left"/>
    </xf>
    <xf numFmtId="0" fontId="5" fillId="0" borderId="2" xfId="0" applyFont="1" applyBorder="1"/>
    <xf numFmtId="0" fontId="0" fillId="0" borderId="2" xfId="0" applyBorder="1" applyAlignment="1">
      <alignment horizontal="center" wrapText="1"/>
    </xf>
    <xf numFmtId="0" fontId="0" fillId="0" borderId="2" xfId="0" applyBorder="1" applyAlignment="1">
      <alignment horizontal="center"/>
    </xf>
    <xf numFmtId="0" fontId="6" fillId="2" borderId="0" xfId="0" applyFont="1" applyFill="1" applyAlignment="1">
      <alignment wrapText="1"/>
    </xf>
    <xf numFmtId="3" fontId="6" fillId="0" borderId="0" xfId="0" applyNumberFormat="1" applyFont="1" applyAlignment="1" applyProtection="1">
      <alignment horizontal="center"/>
      <protection locked="0"/>
    </xf>
    <xf numFmtId="0" fontId="0" fillId="0" borderId="0" xfId="0" applyAlignment="1">
      <alignment wrapText="1"/>
    </xf>
    <xf numFmtId="0" fontId="0" fillId="0" borderId="0" xfId="0" applyAlignment="1">
      <alignment horizontal="left" wrapText="1"/>
    </xf>
    <xf numFmtId="0" fontId="5" fillId="0" borderId="2" xfId="0" applyFont="1" applyBorder="1" applyAlignment="1">
      <alignment wrapText="1"/>
    </xf>
    <xf numFmtId="3" fontId="6" fillId="5" borderId="2" xfId="0" applyNumberFormat="1" applyFont="1" applyFill="1" applyBorder="1" applyAlignment="1" applyProtection="1">
      <alignment horizontal="center"/>
      <protection locked="0"/>
    </xf>
    <xf numFmtId="0" fontId="0" fillId="0" borderId="1" xfId="0" applyBorder="1"/>
    <xf numFmtId="0" fontId="0" fillId="0" borderId="0" xfId="0" applyAlignment="1">
      <alignment horizontal="left"/>
    </xf>
    <xf numFmtId="0" fontId="24" fillId="0" borderId="0" xfId="0" applyFont="1"/>
    <xf numFmtId="0" fontId="2" fillId="0" borderId="0" xfId="0" applyFont="1" applyAlignment="1">
      <alignment horizontal="right"/>
    </xf>
    <xf numFmtId="0" fontId="8" fillId="0" borderId="0" xfId="0" applyFont="1" applyAlignment="1">
      <alignment horizontal="center" vertical="top"/>
    </xf>
    <xf numFmtId="0" fontId="0" fillId="0" borderId="12" xfId="0" applyBorder="1"/>
    <xf numFmtId="0" fontId="0" fillId="0" borderId="12" xfId="0" applyBorder="1" applyAlignment="1">
      <alignment horizontal="left"/>
    </xf>
    <xf numFmtId="0" fontId="26" fillId="0" borderId="0" xfId="0" applyFont="1" applyAlignment="1">
      <alignment horizontal="center"/>
    </xf>
    <xf numFmtId="0" fontId="0" fillId="0" borderId="0" xfId="0" applyAlignment="1">
      <alignment horizontal="center"/>
    </xf>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26" fillId="0" borderId="0" xfId="0" applyFont="1"/>
    <xf numFmtId="2" fontId="16" fillId="0" borderId="15" xfId="0" applyNumberFormat="1" applyFont="1" applyBorder="1" applyAlignment="1">
      <alignment horizontal="center"/>
    </xf>
    <xf numFmtId="2" fontId="16" fillId="0" borderId="16" xfId="0" applyNumberFormat="1" applyFont="1" applyBorder="1" applyAlignment="1">
      <alignment horizontal="center"/>
    </xf>
    <xf numFmtId="0" fontId="6" fillId="2" borderId="18" xfId="0" applyFont="1" applyFill="1" applyBorder="1"/>
    <xf numFmtId="3" fontId="6" fillId="3" borderId="19" xfId="0" applyNumberFormat="1" applyFont="1" applyFill="1" applyBorder="1" applyAlignment="1" applyProtection="1">
      <alignment horizontal="center"/>
      <protection locked="0"/>
    </xf>
    <xf numFmtId="2" fontId="6" fillId="0" borderId="20" xfId="0" applyNumberFormat="1" applyFont="1" applyBorder="1" applyAlignment="1" applyProtection="1">
      <alignment horizontal="center"/>
      <protection locked="0"/>
    </xf>
    <xf numFmtId="2" fontId="6" fillId="0" borderId="21" xfId="0" applyNumberFormat="1" applyFont="1" applyBorder="1" applyAlignment="1" applyProtection="1">
      <alignment horizontal="center"/>
      <protection locked="0"/>
    </xf>
    <xf numFmtId="0" fontId="6" fillId="2" borderId="22" xfId="0" applyFont="1" applyFill="1" applyBorder="1"/>
    <xf numFmtId="3" fontId="6" fillId="3" borderId="23" xfId="0" applyNumberFormat="1" applyFont="1" applyFill="1" applyBorder="1" applyAlignment="1" applyProtection="1">
      <alignment horizontal="center"/>
      <protection locked="0"/>
    </xf>
    <xf numFmtId="2" fontId="6" fillId="0" borderId="24" xfId="0" applyNumberFormat="1" applyFont="1" applyBorder="1" applyAlignment="1" applyProtection="1">
      <alignment horizontal="center"/>
      <protection locked="0"/>
    </xf>
    <xf numFmtId="0" fontId="6" fillId="2" borderId="2" xfId="0" applyFont="1" applyFill="1" applyBorder="1" applyAlignment="1">
      <alignment vertical="center"/>
    </xf>
    <xf numFmtId="2" fontId="5" fillId="0" borderId="3" xfId="0" applyNumberFormat="1" applyFont="1" applyBorder="1" applyAlignment="1">
      <alignment horizontal="left"/>
    </xf>
    <xf numFmtId="0" fontId="6" fillId="0" borderId="3" xfId="0" applyFont="1" applyBorder="1" applyAlignment="1">
      <alignment horizontal="left" vertical="top" wrapText="1"/>
    </xf>
    <xf numFmtId="0" fontId="6" fillId="0" borderId="0" xfId="0" applyFont="1" applyAlignment="1">
      <alignment horizontal="center"/>
    </xf>
    <xf numFmtId="0" fontId="26" fillId="0" borderId="12" xfId="0" applyFont="1" applyBorder="1" applyAlignment="1">
      <alignment horizontal="center"/>
    </xf>
    <xf numFmtId="0" fontId="0" fillId="0" borderId="25" xfId="0" applyBorder="1" applyAlignment="1">
      <alignment horizontal="left"/>
    </xf>
    <xf numFmtId="0" fontId="26" fillId="0" borderId="25" xfId="0" applyFont="1" applyBorder="1" applyAlignment="1">
      <alignment horizontal="center"/>
    </xf>
    <xf numFmtId="3" fontId="0" fillId="3" borderId="2" xfId="0" applyNumberFormat="1" applyFill="1" applyBorder="1" applyAlignment="1">
      <alignment horizontal="center"/>
    </xf>
    <xf numFmtId="0" fontId="6" fillId="0" borderId="13" xfId="0" applyFont="1" applyBorder="1" applyAlignment="1">
      <alignment vertical="top" wrapText="1"/>
    </xf>
    <xf numFmtId="0" fontId="6" fillId="0" borderId="15" xfId="0" applyFont="1" applyBorder="1" applyAlignment="1">
      <alignment vertical="top" wrapText="1"/>
    </xf>
    <xf numFmtId="0" fontId="6" fillId="0" borderId="3" xfId="0" applyFont="1" applyBorder="1" applyAlignment="1">
      <alignment vertical="top" wrapText="1"/>
    </xf>
    <xf numFmtId="0" fontId="6" fillId="0" borderId="16" xfId="0" applyFont="1" applyBorder="1" applyAlignment="1">
      <alignment vertical="top" wrapText="1"/>
    </xf>
    <xf numFmtId="0" fontId="3" fillId="0" borderId="3" xfId="0" applyFont="1" applyBorder="1"/>
    <xf numFmtId="0" fontId="3" fillId="0" borderId="16" xfId="0" applyFont="1" applyBorder="1"/>
    <xf numFmtId="0" fontId="5" fillId="0" borderId="2" xfId="0" applyFont="1" applyBorder="1" applyAlignment="1">
      <alignment horizontal="left"/>
    </xf>
    <xf numFmtId="0" fontId="28" fillId="0" borderId="0" xfId="0" applyFont="1"/>
    <xf numFmtId="0" fontId="0" fillId="0" borderId="2" xfId="0" applyBorder="1" applyAlignment="1">
      <alignment horizontal="center" vertical="center"/>
    </xf>
    <xf numFmtId="0" fontId="0" fillId="0" borderId="2" xfId="0" applyBorder="1" applyAlignment="1">
      <alignment vertical="center"/>
    </xf>
    <xf numFmtId="0" fontId="0" fillId="0" borderId="2" xfId="0" applyBorder="1" applyAlignment="1">
      <alignment horizontal="center" vertical="center" wrapText="1"/>
    </xf>
    <xf numFmtId="0" fontId="1" fillId="0" borderId="2" xfId="0" applyFont="1" applyBorder="1" applyAlignment="1">
      <alignment vertical="center" wrapText="1"/>
    </xf>
    <xf numFmtId="4" fontId="0" fillId="3" borderId="2" xfId="0" applyNumberFormat="1" applyFill="1" applyBorder="1" applyAlignment="1">
      <alignment horizontal="center"/>
    </xf>
    <xf numFmtId="0" fontId="0" fillId="0" borderId="2" xfId="0" applyBorder="1" applyAlignment="1">
      <alignment vertical="center" wrapText="1"/>
    </xf>
    <xf numFmtId="166" fontId="0" fillId="3" borderId="2" xfId="0" applyNumberFormat="1" applyFill="1" applyBorder="1" applyAlignment="1">
      <alignment horizontal="center"/>
    </xf>
    <xf numFmtId="0" fontId="0" fillId="0" borderId="7" xfId="0" applyBorder="1" applyAlignment="1">
      <alignment horizontal="center" vertical="center"/>
    </xf>
    <xf numFmtId="0" fontId="0" fillId="0" borderId="7" xfId="0" applyBorder="1" applyAlignment="1">
      <alignment horizontal="left" vertical="center" wrapText="1"/>
    </xf>
    <xf numFmtId="0" fontId="0" fillId="3" borderId="2" xfId="0" applyFill="1" applyBorder="1" applyAlignment="1">
      <alignment horizontal="center"/>
    </xf>
    <xf numFmtId="0" fontId="0" fillId="0" borderId="0" xfId="0" applyAlignment="1">
      <alignment horizontal="center" wrapText="1"/>
    </xf>
    <xf numFmtId="0" fontId="1" fillId="0" borderId="0" xfId="0" applyFont="1" applyAlignment="1">
      <alignment wrapText="1"/>
    </xf>
    <xf numFmtId="0" fontId="1" fillId="0" borderId="0" xfId="0" applyFont="1" applyAlignment="1">
      <alignment horizontal="center"/>
    </xf>
    <xf numFmtId="0" fontId="30" fillId="0" borderId="0" xfId="0" applyFont="1"/>
    <xf numFmtId="0" fontId="1" fillId="0" borderId="2" xfId="0" applyFont="1" applyBorder="1" applyAlignment="1">
      <alignment horizontal="center" vertical="center" wrapText="1"/>
    </xf>
    <xf numFmtId="0" fontId="1" fillId="0" borderId="2" xfId="0" applyFont="1" applyBorder="1" applyAlignment="1">
      <alignment horizontal="center"/>
    </xf>
    <xf numFmtId="0" fontId="1" fillId="0" borderId="2" xfId="0" applyFont="1" applyBorder="1"/>
    <xf numFmtId="0" fontId="1" fillId="0" borderId="2" xfId="0" applyFont="1" applyBorder="1" applyAlignment="1">
      <alignment horizontal="center" vertical="center"/>
    </xf>
    <xf numFmtId="168" fontId="0" fillId="3" borderId="2" xfId="0" applyNumberFormat="1" applyFill="1" applyBorder="1" applyAlignment="1">
      <alignment horizontal="center"/>
    </xf>
    <xf numFmtId="0" fontId="6" fillId="2" borderId="1" xfId="0" applyFont="1" applyFill="1" applyBorder="1" applyAlignment="1">
      <alignment horizontal="left" indent="5"/>
    </xf>
    <xf numFmtId="3" fontId="6" fillId="3" borderId="1" xfId="0" applyNumberFormat="1" applyFont="1" applyFill="1" applyBorder="1" applyAlignment="1">
      <alignment horizontal="center"/>
    </xf>
    <xf numFmtId="1" fontId="0" fillId="3" borderId="2" xfId="0" applyNumberFormat="1" applyFill="1" applyBorder="1" applyAlignment="1">
      <alignment horizontal="center" wrapText="1"/>
    </xf>
    <xf numFmtId="0" fontId="0" fillId="3" borderId="2" xfId="0" applyFill="1" applyBorder="1" applyAlignment="1">
      <alignment horizontal="center" wrapText="1"/>
    </xf>
    <xf numFmtId="0" fontId="0" fillId="3" borderId="2" xfId="0" applyFill="1" applyBorder="1" applyAlignment="1">
      <alignment wrapText="1"/>
    </xf>
    <xf numFmtId="0" fontId="0" fillId="0" borderId="0" xfId="0" applyAlignment="1">
      <alignment horizontal="right" vertical="top" wrapText="1"/>
    </xf>
    <xf numFmtId="0" fontId="0" fillId="0" borderId="0" xfId="0" applyAlignment="1">
      <alignment vertical="top" wrapText="1"/>
    </xf>
    <xf numFmtId="3" fontId="0" fillId="3" borderId="2" xfId="0" applyNumberFormat="1" applyFill="1" applyBorder="1" applyAlignment="1">
      <alignment horizontal="center" wrapText="1"/>
    </xf>
    <xf numFmtId="0" fontId="1" fillId="0" borderId="2" xfId="0" applyFont="1" applyBorder="1" applyAlignment="1">
      <alignment wrapText="1"/>
    </xf>
    <xf numFmtId="4" fontId="0" fillId="3" borderId="2" xfId="0" applyNumberFormat="1" applyFill="1" applyBorder="1" applyAlignment="1">
      <alignment horizontal="center" wrapText="1"/>
    </xf>
    <xf numFmtId="168" fontId="0" fillId="3" borderId="2" xfId="0" applyNumberFormat="1" applyFill="1" applyBorder="1" applyAlignment="1">
      <alignment horizontal="center" wrapText="1"/>
    </xf>
    <xf numFmtId="166" fontId="0" fillId="3" borderId="2" xfId="0" applyNumberFormat="1" applyFill="1" applyBorder="1" applyAlignment="1">
      <alignment horizontal="center" wrapText="1"/>
    </xf>
    <xf numFmtId="0" fontId="32" fillId="0" borderId="0" xfId="0" applyFont="1" applyAlignment="1">
      <alignment wrapText="1"/>
    </xf>
    <xf numFmtId="0" fontId="0" fillId="0" borderId="0" xfId="0" quotePrefix="1" applyAlignment="1">
      <alignment horizontal="right"/>
    </xf>
    <xf numFmtId="0" fontId="26" fillId="0" borderId="0" xfId="0" applyFont="1" applyAlignment="1" applyProtection="1">
      <alignment horizontal="center"/>
      <protection locked="0"/>
    </xf>
    <xf numFmtId="0" fontId="0" fillId="0" borderId="0" xfId="0" applyProtection="1">
      <protection locked="0"/>
    </xf>
    <xf numFmtId="0" fontId="0" fillId="0" borderId="13" xfId="0" applyBorder="1" applyProtection="1">
      <protection locked="0"/>
    </xf>
    <xf numFmtId="0" fontId="0" fillId="0" borderId="14" xfId="0" applyBorder="1" applyProtection="1">
      <protection locked="0"/>
    </xf>
    <xf numFmtId="0" fontId="0" fillId="0" borderId="15" xfId="0" applyBorder="1" applyProtection="1">
      <protection locked="0"/>
    </xf>
    <xf numFmtId="0" fontId="0" fillId="0" borderId="3" xfId="0" applyBorder="1" applyProtection="1">
      <protection locked="0"/>
    </xf>
    <xf numFmtId="0" fontId="0" fillId="0" borderId="16" xfId="0" applyBorder="1" applyProtection="1">
      <protection locked="0"/>
    </xf>
    <xf numFmtId="0" fontId="0" fillId="0" borderId="4" xfId="0" applyBorder="1" applyProtection="1">
      <protection locked="0"/>
    </xf>
    <xf numFmtId="0" fontId="0" fillId="0" borderId="12" xfId="0" applyBorder="1" applyProtection="1">
      <protection locked="0"/>
    </xf>
    <xf numFmtId="0" fontId="0" fillId="0" borderId="17" xfId="0" applyBorder="1" applyProtection="1">
      <protection locked="0"/>
    </xf>
    <xf numFmtId="165" fontId="1" fillId="0" borderId="2" xfId="0" applyNumberFormat="1" applyFont="1" applyBorder="1" applyAlignment="1">
      <alignment horizontal="center"/>
    </xf>
    <xf numFmtId="0" fontId="14" fillId="3" borderId="2" xfId="0" applyFont="1" applyFill="1" applyBorder="1" applyAlignment="1">
      <alignment horizontal="center"/>
    </xf>
    <xf numFmtId="166" fontId="0" fillId="0" borderId="2" xfId="0" applyNumberFormat="1" applyBorder="1" applyAlignment="1">
      <alignment horizontal="center" wrapText="1"/>
    </xf>
    <xf numFmtId="0" fontId="0" fillId="0" borderId="0" xfId="0" applyAlignment="1">
      <alignment horizontal="left" indent="1"/>
    </xf>
    <xf numFmtId="0" fontId="0" fillId="0" borderId="0" xfId="0" applyAlignment="1">
      <alignment horizontal="left" indent="2"/>
    </xf>
    <xf numFmtId="0" fontId="33" fillId="0" borderId="0" xfId="0" applyFont="1" applyAlignment="1">
      <alignment horizontal="left" wrapText="1"/>
    </xf>
    <xf numFmtId="0" fontId="33" fillId="0" borderId="0" xfId="0" applyFont="1" applyAlignment="1">
      <alignment horizontal="left" indent="2"/>
    </xf>
    <xf numFmtId="0" fontId="0" fillId="0" borderId="7" xfId="0" applyBorder="1" applyAlignment="1">
      <alignment vertical="center" wrapText="1"/>
    </xf>
    <xf numFmtId="165" fontId="6" fillId="4" borderId="2" xfId="0" applyNumberFormat="1" applyFont="1" applyFill="1" applyBorder="1" applyAlignment="1">
      <alignment horizontal="center" wrapText="1"/>
    </xf>
    <xf numFmtId="165" fontId="5" fillId="4" borderId="2" xfId="0" applyNumberFormat="1" applyFont="1" applyFill="1" applyBorder="1" applyAlignment="1">
      <alignment horizontal="center" wrapText="1"/>
    </xf>
    <xf numFmtId="3" fontId="6" fillId="4" borderId="2" xfId="0" applyNumberFormat="1" applyFont="1" applyFill="1" applyBorder="1" applyAlignment="1">
      <alignment horizontal="center"/>
    </xf>
    <xf numFmtId="2" fontId="6" fillId="4" borderId="5" xfId="1" applyNumberFormat="1" applyFont="1" applyFill="1" applyBorder="1" applyAlignment="1">
      <alignment horizontal="center"/>
    </xf>
    <xf numFmtId="3" fontId="0" fillId="4" borderId="2" xfId="0" applyNumberFormat="1" applyFill="1" applyBorder="1" applyAlignment="1">
      <alignment horizontal="center"/>
    </xf>
    <xf numFmtId="0" fontId="0" fillId="4" borderId="2" xfId="0" applyFill="1" applyBorder="1" applyAlignment="1">
      <alignment horizontal="center" wrapText="1"/>
    </xf>
    <xf numFmtId="3" fontId="5" fillId="4" borderId="2" xfId="0" applyNumberFormat="1" applyFont="1" applyFill="1" applyBorder="1" applyAlignment="1">
      <alignment horizontal="center"/>
    </xf>
    <xf numFmtId="0" fontId="0" fillId="4" borderId="2" xfId="0" applyFill="1" applyBorder="1" applyAlignment="1">
      <alignment horizontal="center"/>
    </xf>
    <xf numFmtId="165" fontId="5" fillId="4" borderId="2" xfId="0" applyNumberFormat="1" applyFont="1" applyFill="1" applyBorder="1" applyAlignment="1">
      <alignment horizontal="center"/>
    </xf>
    <xf numFmtId="1" fontId="6" fillId="4" borderId="2" xfId="0" applyNumberFormat="1" applyFont="1" applyFill="1" applyBorder="1" applyAlignment="1">
      <alignment horizontal="center"/>
    </xf>
    <xf numFmtId="164" fontId="6" fillId="4" borderId="2" xfId="0" applyNumberFormat="1" applyFont="1" applyFill="1" applyBorder="1" applyAlignment="1">
      <alignment horizontal="center"/>
    </xf>
    <xf numFmtId="3" fontId="6" fillId="4" borderId="2" xfId="0" applyNumberFormat="1" applyFont="1" applyFill="1" applyBorder="1"/>
    <xf numFmtId="164" fontId="6" fillId="4" borderId="2" xfId="0" applyNumberFormat="1" applyFont="1" applyFill="1" applyBorder="1" applyAlignment="1">
      <alignment horizontal="right"/>
    </xf>
    <xf numFmtId="3" fontId="0" fillId="4" borderId="2" xfId="0" applyNumberFormat="1" applyFill="1" applyBorder="1" applyAlignment="1">
      <alignment horizontal="center" wrapText="1"/>
    </xf>
    <xf numFmtId="166" fontId="0" fillId="4" borderId="2" xfId="0" applyNumberFormat="1" applyFill="1" applyBorder="1" applyAlignment="1">
      <alignment horizontal="center" wrapText="1"/>
    </xf>
    <xf numFmtId="2" fontId="0" fillId="4" borderId="2" xfId="0" applyNumberFormat="1" applyFill="1" applyBorder="1" applyAlignment="1">
      <alignment horizontal="center"/>
    </xf>
    <xf numFmtId="166" fontId="0" fillId="4" borderId="2" xfId="0" applyNumberFormat="1" applyFill="1" applyBorder="1" applyAlignment="1">
      <alignment horizontal="center"/>
    </xf>
    <xf numFmtId="168" fontId="0" fillId="4" borderId="2" xfId="0" applyNumberFormat="1" applyFill="1" applyBorder="1" applyAlignment="1">
      <alignment horizontal="center"/>
    </xf>
    <xf numFmtId="4" fontId="0" fillId="4" borderId="2" xfId="0" applyNumberFormat="1" applyFill="1" applyBorder="1" applyAlignment="1">
      <alignment horizontal="center"/>
    </xf>
    <xf numFmtId="3" fontId="6" fillId="4" borderId="1" xfId="0" applyNumberFormat="1" applyFont="1" applyFill="1" applyBorder="1" applyAlignment="1">
      <alignment horizontal="center"/>
    </xf>
    <xf numFmtId="1" fontId="0" fillId="4" borderId="2" xfId="0" applyNumberFormat="1" applyFill="1" applyBorder="1" applyAlignment="1">
      <alignment horizontal="center"/>
    </xf>
    <xf numFmtId="0" fontId="6" fillId="2" borderId="13" xfId="0" applyFont="1" applyFill="1" applyBorder="1"/>
    <xf numFmtId="3" fontId="6" fillId="3" borderId="5" xfId="0" applyNumberFormat="1" applyFont="1" applyFill="1" applyBorder="1" applyAlignment="1" applyProtection="1">
      <alignment horizontal="center"/>
      <protection locked="0"/>
    </xf>
    <xf numFmtId="2" fontId="6" fillId="0" borderId="26" xfId="0" applyNumberFormat="1" applyFont="1" applyBorder="1" applyAlignment="1" applyProtection="1">
      <alignment horizontal="center"/>
      <protection locked="0"/>
    </xf>
    <xf numFmtId="2" fontId="6" fillId="3" borderId="24" xfId="0" applyNumberFormat="1" applyFont="1" applyFill="1" applyBorder="1" applyAlignment="1" applyProtection="1">
      <alignment horizontal="center"/>
      <protection locked="0"/>
    </xf>
    <xf numFmtId="1" fontId="6" fillId="3" borderId="2" xfId="0" applyNumberFormat="1" applyFont="1" applyFill="1" applyBorder="1" applyAlignment="1" applyProtection="1">
      <alignment horizontal="center"/>
      <protection locked="0"/>
    </xf>
    <xf numFmtId="0" fontId="34" fillId="0" borderId="0" xfId="0" applyFont="1"/>
    <xf numFmtId="0" fontId="35" fillId="0" borderId="0" xfId="0" quotePrefix="1" applyFont="1" applyAlignment="1">
      <alignment horizontal="left"/>
    </xf>
    <xf numFmtId="0" fontId="35" fillId="4" borderId="2" xfId="0" applyFont="1" applyFill="1" applyBorder="1" applyAlignment="1">
      <alignment horizontal="center"/>
    </xf>
    <xf numFmtId="0" fontId="35" fillId="3" borderId="2" xfId="0" applyFont="1" applyFill="1" applyBorder="1" applyAlignment="1">
      <alignment horizontal="center"/>
    </xf>
    <xf numFmtId="0" fontId="35" fillId="0" borderId="0" xfId="0" applyFont="1" applyAlignment="1">
      <alignment horizontal="center"/>
    </xf>
    <xf numFmtId="0" fontId="0" fillId="0" borderId="2" xfId="0" applyBorder="1" applyProtection="1">
      <protection locked="0"/>
    </xf>
    <xf numFmtId="0" fontId="5" fillId="0" borderId="0" xfId="0" applyFont="1" applyProtection="1">
      <protection locked="0"/>
    </xf>
    <xf numFmtId="0" fontId="37" fillId="0" borderId="0" xfId="0" applyFont="1" applyAlignment="1" applyProtection="1">
      <alignment horizontal="center"/>
      <protection locked="0"/>
    </xf>
    <xf numFmtId="0" fontId="18" fillId="0" borderId="5" xfId="0" applyFont="1" applyBorder="1" applyAlignment="1">
      <alignment horizontal="center" wrapText="1"/>
    </xf>
    <xf numFmtId="0" fontId="18" fillId="0" borderId="7" xfId="0" applyFont="1" applyBorder="1" applyAlignment="1">
      <alignment horizontal="center" wrapText="1"/>
    </xf>
    <xf numFmtId="1" fontId="6" fillId="0" borderId="11" xfId="0" applyNumberFormat="1" applyFont="1" applyBorder="1" applyAlignment="1">
      <alignment horizontal="center"/>
    </xf>
    <xf numFmtId="0" fontId="6" fillId="2" borderId="18" xfId="0" applyFont="1" applyFill="1" applyBorder="1" applyAlignment="1">
      <alignment wrapText="1"/>
    </xf>
    <xf numFmtId="3" fontId="6" fillId="4" borderId="19" xfId="0" applyNumberFormat="1" applyFont="1" applyFill="1" applyBorder="1" applyAlignment="1">
      <alignment horizontal="center"/>
    </xf>
    <xf numFmtId="2" fontId="6" fillId="4" borderId="20" xfId="0" applyNumberFormat="1" applyFont="1" applyFill="1" applyBorder="1" applyAlignment="1">
      <alignment horizontal="center"/>
    </xf>
    <xf numFmtId="0" fontId="6" fillId="2" borderId="22" xfId="0" applyFont="1" applyFill="1" applyBorder="1" applyAlignment="1">
      <alignment wrapText="1"/>
    </xf>
    <xf numFmtId="3" fontId="6" fillId="4" borderId="23" xfId="0" applyNumberFormat="1" applyFont="1" applyFill="1" applyBorder="1" applyAlignment="1">
      <alignment horizontal="center"/>
    </xf>
    <xf numFmtId="2" fontId="25" fillId="5" borderId="24" xfId="0" applyNumberFormat="1" applyFont="1" applyFill="1" applyBorder="1" applyAlignment="1" applyProtection="1">
      <alignment horizontal="center" wrapText="1"/>
      <protection locked="0"/>
    </xf>
    <xf numFmtId="0" fontId="33" fillId="0" borderId="0" xfId="0" applyFont="1" applyAlignment="1">
      <alignment horizontal="left"/>
    </xf>
    <xf numFmtId="0" fontId="18" fillId="0" borderId="5" xfId="0" applyFont="1" applyBorder="1" applyAlignment="1">
      <alignment horizontal="center"/>
    </xf>
    <xf numFmtId="0" fontId="5" fillId="0" borderId="5" xfId="0" applyFont="1" applyBorder="1" applyAlignment="1">
      <alignment horizontal="center"/>
    </xf>
    <xf numFmtId="0" fontId="18" fillId="0" borderId="7" xfId="0" applyFont="1" applyBorder="1" applyAlignment="1">
      <alignment horizontal="center"/>
    </xf>
    <xf numFmtId="0" fontId="5" fillId="0" borderId="7" xfId="0" applyFont="1" applyBorder="1" applyAlignment="1">
      <alignment horizontal="center"/>
    </xf>
    <xf numFmtId="0" fontId="39" fillId="0" borderId="0" xfId="0" applyFont="1" applyProtection="1">
      <protection locked="0"/>
    </xf>
    <xf numFmtId="0" fontId="0" fillId="0" borderId="0" xfId="0" applyAlignment="1" applyProtection="1">
      <alignment horizontal="right"/>
      <protection locked="0"/>
    </xf>
    <xf numFmtId="165" fontId="0" fillId="0" borderId="0" xfId="0" applyNumberFormat="1" applyAlignment="1" applyProtection="1">
      <alignment horizontal="center"/>
      <protection locked="0"/>
    </xf>
    <xf numFmtId="0" fontId="0" fillId="0" borderId="12" xfId="0" applyBorder="1" applyAlignment="1">
      <alignment horizontal="center"/>
    </xf>
    <xf numFmtId="0" fontId="0" fillId="0" borderId="0" xfId="0" quotePrefix="1"/>
    <xf numFmtId="0" fontId="0" fillId="0" borderId="1" xfId="0" applyBorder="1" applyAlignment="1">
      <alignment horizontal="left"/>
    </xf>
    <xf numFmtId="0" fontId="0" fillId="0" borderId="1" xfId="0" applyBorder="1" applyAlignment="1">
      <alignment horizontal="center"/>
    </xf>
    <xf numFmtId="0" fontId="0" fillId="0" borderId="0" xfId="0" applyAlignment="1">
      <alignment horizontal="right"/>
    </xf>
    <xf numFmtId="0" fontId="5" fillId="0" borderId="19" xfId="0" applyFont="1" applyBorder="1" applyAlignment="1">
      <alignment horizontal="center"/>
    </xf>
    <xf numFmtId="0" fontId="5" fillId="0" borderId="20" xfId="0" applyFont="1" applyBorder="1" applyAlignment="1">
      <alignment horizontal="center"/>
    </xf>
    <xf numFmtId="0" fontId="0" fillId="3" borderId="21" xfId="0" applyFill="1" applyBorder="1" applyAlignment="1">
      <alignment horizontal="center"/>
    </xf>
    <xf numFmtId="2" fontId="0" fillId="3" borderId="2" xfId="0" applyNumberFormat="1" applyFill="1" applyBorder="1" applyAlignment="1">
      <alignment horizontal="center"/>
    </xf>
    <xf numFmtId="2" fontId="0" fillId="3" borderId="21" xfId="0" applyNumberFormat="1" applyFill="1" applyBorder="1" applyAlignment="1">
      <alignment horizontal="center"/>
    </xf>
    <xf numFmtId="1" fontId="0" fillId="3" borderId="2" xfId="0" applyNumberFormat="1" applyFill="1" applyBorder="1" applyAlignment="1">
      <alignment horizontal="center"/>
    </xf>
    <xf numFmtId="1" fontId="0" fillId="3" borderId="21" xfId="0" applyNumberFormat="1" applyFill="1" applyBorder="1" applyAlignment="1">
      <alignment horizontal="center"/>
    </xf>
    <xf numFmtId="167" fontId="0" fillId="4" borderId="2" xfId="0" applyNumberFormat="1" applyFill="1" applyBorder="1" applyAlignment="1">
      <alignment horizontal="center"/>
    </xf>
    <xf numFmtId="167" fontId="0" fillId="4" borderId="21" xfId="0" applyNumberFormat="1" applyFill="1" applyBorder="1" applyAlignment="1">
      <alignment horizontal="center"/>
    </xf>
    <xf numFmtId="165" fontId="0" fillId="3" borderId="2" xfId="0" applyNumberFormat="1" applyFill="1" applyBorder="1" applyAlignment="1">
      <alignment horizontal="center"/>
    </xf>
    <xf numFmtId="165" fontId="0" fillId="3" borderId="21" xfId="0" applyNumberFormat="1" applyFill="1" applyBorder="1" applyAlignment="1">
      <alignment horizontal="center"/>
    </xf>
    <xf numFmtId="2" fontId="0" fillId="4" borderId="21" xfId="0" applyNumberFormat="1" applyFill="1" applyBorder="1" applyAlignment="1">
      <alignment horizontal="center"/>
    </xf>
    <xf numFmtId="0" fontId="5" fillId="0" borderId="27" xfId="0" applyFont="1" applyBorder="1" applyAlignment="1">
      <alignment horizontal="center"/>
    </xf>
    <xf numFmtId="0" fontId="0" fillId="3" borderId="11" xfId="0" applyFill="1" applyBorder="1" applyAlignment="1">
      <alignment horizontal="center"/>
    </xf>
    <xf numFmtId="2" fontId="0" fillId="3" borderId="11" xfId="0" applyNumberFormat="1" applyFill="1" applyBorder="1" applyAlignment="1">
      <alignment horizontal="center"/>
    </xf>
    <xf numFmtId="1" fontId="0" fillId="3" borderId="11" xfId="0" applyNumberFormat="1" applyFill="1" applyBorder="1" applyAlignment="1">
      <alignment horizontal="center"/>
    </xf>
    <xf numFmtId="170" fontId="0" fillId="4" borderId="11" xfId="2" applyNumberFormat="1" applyFont="1" applyFill="1" applyBorder="1" applyAlignment="1">
      <alignment horizontal="center"/>
    </xf>
    <xf numFmtId="167" fontId="0" fillId="4" borderId="11" xfId="0" applyNumberFormat="1" applyFill="1" applyBorder="1" applyAlignment="1">
      <alignment horizontal="center"/>
    </xf>
    <xf numFmtId="165" fontId="0" fillId="3" borderId="11" xfId="0" applyNumberFormat="1" applyFill="1" applyBorder="1" applyAlignment="1">
      <alignment horizontal="center"/>
    </xf>
    <xf numFmtId="2" fontId="0" fillId="4" borderId="11" xfId="0" applyNumberFormat="1" applyFill="1" applyBorder="1" applyAlignment="1">
      <alignment horizontal="center"/>
    </xf>
    <xf numFmtId="0" fontId="5" fillId="0" borderId="28" xfId="0" applyFont="1" applyBorder="1" applyAlignment="1">
      <alignment horizontal="right"/>
    </xf>
    <xf numFmtId="0" fontId="0" fillId="0" borderId="29" xfId="0" applyBorder="1" applyAlignment="1">
      <alignment horizontal="right"/>
    </xf>
    <xf numFmtId="0" fontId="0" fillId="0" borderId="30" xfId="0" applyBorder="1"/>
    <xf numFmtId="0" fontId="0" fillId="0" borderId="31" xfId="0" applyBorder="1" applyAlignment="1">
      <alignment horizontal="right"/>
    </xf>
    <xf numFmtId="0" fontId="0" fillId="0" borderId="32" xfId="0" applyBorder="1" applyAlignment="1">
      <alignment horizontal="left"/>
    </xf>
    <xf numFmtId="0" fontId="0" fillId="0" borderId="32" xfId="0" applyBorder="1"/>
    <xf numFmtId="0" fontId="0" fillId="0" borderId="33" xfId="0" applyBorder="1"/>
    <xf numFmtId="0" fontId="0" fillId="0" borderId="25"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28" fillId="0" borderId="35" xfId="0" applyFont="1" applyBorder="1" applyAlignment="1">
      <alignment horizontal="center"/>
    </xf>
    <xf numFmtId="0" fontId="0" fillId="0" borderId="36" xfId="0" applyBorder="1"/>
    <xf numFmtId="0" fontId="28" fillId="0" borderId="0" xfId="0" applyFont="1" applyAlignment="1">
      <alignment horizontal="center"/>
    </xf>
    <xf numFmtId="0" fontId="0" fillId="0" borderId="37" xfId="0" applyBorder="1" applyAlignment="1">
      <alignment horizontal="right"/>
    </xf>
    <xf numFmtId="0" fontId="0" fillId="0" borderId="37" xfId="0" applyBorder="1" applyAlignment="1">
      <alignment horizontal="center"/>
    </xf>
    <xf numFmtId="0" fontId="28" fillId="0" borderId="37" xfId="0" applyFont="1" applyBorder="1"/>
    <xf numFmtId="0" fontId="0" fillId="0" borderId="38" xfId="0" applyBorder="1"/>
    <xf numFmtId="0" fontId="5" fillId="0" borderId="39" xfId="0" applyFont="1" applyBorder="1" applyAlignment="1">
      <alignment horizontal="center"/>
    </xf>
    <xf numFmtId="0" fontId="28" fillId="0" borderId="0" xfId="0" applyFont="1" applyAlignment="1">
      <alignment horizontal="right"/>
    </xf>
    <xf numFmtId="2" fontId="0" fillId="3" borderId="40" xfId="0" applyNumberFormat="1" applyFill="1" applyBorder="1" applyAlignment="1">
      <alignment horizontal="center"/>
    </xf>
    <xf numFmtId="2" fontId="0" fillId="3" borderId="12" xfId="0" applyNumberFormat="1" applyFill="1" applyBorder="1" applyAlignment="1">
      <alignment horizontal="center"/>
    </xf>
    <xf numFmtId="2" fontId="0" fillId="3" borderId="41" xfId="0" applyNumberFormat="1" applyFill="1" applyBorder="1" applyAlignment="1">
      <alignment horizontal="center"/>
    </xf>
    <xf numFmtId="164" fontId="0" fillId="4" borderId="2" xfId="0" applyNumberFormat="1" applyFill="1" applyBorder="1" applyAlignment="1">
      <alignment horizontal="center"/>
    </xf>
    <xf numFmtId="2" fontId="0" fillId="3" borderId="25" xfId="0" applyNumberFormat="1" applyFill="1" applyBorder="1" applyAlignment="1">
      <alignment horizontal="center"/>
    </xf>
    <xf numFmtId="2" fontId="0" fillId="4" borderId="34" xfId="0" applyNumberFormat="1" applyFill="1" applyBorder="1" applyAlignment="1">
      <alignment horizontal="center"/>
    </xf>
    <xf numFmtId="2" fontId="0" fillId="3" borderId="42" xfId="0" applyNumberFormat="1" applyFill="1" applyBorder="1" applyAlignment="1">
      <alignment horizontal="center"/>
    </xf>
    <xf numFmtId="164" fontId="0" fillId="4" borderId="5" xfId="0" applyNumberFormat="1" applyFill="1" applyBorder="1" applyAlignment="1">
      <alignment horizontal="center"/>
    </xf>
    <xf numFmtId="2" fontId="0" fillId="3" borderId="14" xfId="0" applyNumberFormat="1" applyFill="1" applyBorder="1" applyAlignment="1">
      <alignment horizontal="center"/>
    </xf>
    <xf numFmtId="2" fontId="0" fillId="3" borderId="43" xfId="0" applyNumberFormat="1" applyFill="1" applyBorder="1" applyAlignment="1">
      <alignment horizontal="center"/>
    </xf>
    <xf numFmtId="2" fontId="0" fillId="3" borderId="44" xfId="0" applyNumberFormat="1" applyFill="1" applyBorder="1" applyAlignment="1">
      <alignment horizontal="center"/>
    </xf>
    <xf numFmtId="2" fontId="0" fillId="3" borderId="45" xfId="0" applyNumberFormat="1" applyFill="1" applyBorder="1" applyAlignment="1">
      <alignment horizontal="center"/>
    </xf>
    <xf numFmtId="2" fontId="5" fillId="4" borderId="33" xfId="0" applyNumberFormat="1" applyFont="1" applyFill="1" applyBorder="1" applyAlignment="1">
      <alignment horizontal="center"/>
    </xf>
    <xf numFmtId="2" fontId="0" fillId="4" borderId="41" xfId="0" applyNumberFormat="1" applyFill="1" applyBorder="1" applyAlignment="1">
      <alignment horizontal="center"/>
    </xf>
    <xf numFmtId="2" fontId="0" fillId="4" borderId="25" xfId="0" applyNumberFormat="1" applyFill="1" applyBorder="1" applyAlignment="1">
      <alignment horizontal="center"/>
    </xf>
    <xf numFmtId="2" fontId="0" fillId="4" borderId="44" xfId="0" applyNumberFormat="1" applyFill="1" applyBorder="1" applyAlignment="1">
      <alignment horizontal="center"/>
    </xf>
    <xf numFmtId="0" fontId="5" fillId="0" borderId="46" xfId="0" applyFont="1" applyBorder="1" applyAlignment="1">
      <alignment horizontal="right"/>
    </xf>
    <xf numFmtId="0" fontId="0" fillId="0" borderId="47" xfId="0" applyBorder="1" applyAlignment="1">
      <alignment horizontal="right"/>
    </xf>
    <xf numFmtId="0" fontId="0" fillId="0" borderId="48" xfId="0" applyBorder="1" applyAlignment="1">
      <alignment horizontal="right"/>
    </xf>
    <xf numFmtId="0" fontId="5" fillId="0" borderId="49" xfId="0" applyFont="1" applyBorder="1" applyAlignment="1">
      <alignment horizontal="center"/>
    </xf>
    <xf numFmtId="2" fontId="0" fillId="4" borderId="50" xfId="0" applyNumberFormat="1" applyFill="1" applyBorder="1" applyAlignment="1">
      <alignment horizontal="center"/>
    </xf>
    <xf numFmtId="2" fontId="28" fillId="4" borderId="51" xfId="0" applyNumberFormat="1" applyFont="1" applyFill="1" applyBorder="1" applyAlignment="1">
      <alignment horizontal="center"/>
    </xf>
    <xf numFmtId="0" fontId="5" fillId="0" borderId="32" xfId="0" applyFont="1" applyBorder="1" applyAlignment="1">
      <alignment horizontal="right"/>
    </xf>
    <xf numFmtId="2" fontId="5" fillId="0" borderId="0" xfId="0" applyNumberFormat="1" applyFont="1" applyAlignment="1">
      <alignment horizontal="center"/>
    </xf>
    <xf numFmtId="167" fontId="0" fillId="4" borderId="34" xfId="0" applyNumberFormat="1" applyFill="1" applyBorder="1" applyAlignment="1">
      <alignment horizontal="center"/>
    </xf>
    <xf numFmtId="2" fontId="5" fillId="0" borderId="30" xfId="0" applyNumberFormat="1" applyFont="1" applyBorder="1" applyAlignment="1">
      <alignment horizontal="center"/>
    </xf>
    <xf numFmtId="0" fontId="5" fillId="0" borderId="52" xfId="0" applyFont="1" applyBorder="1" applyAlignment="1">
      <alignment horizontal="center"/>
    </xf>
    <xf numFmtId="0" fontId="28" fillId="0" borderId="53" xfId="0" applyFont="1" applyBorder="1"/>
    <xf numFmtId="0" fontId="0" fillId="3" borderId="1" xfId="0" applyFill="1" applyBorder="1"/>
    <xf numFmtId="0" fontId="0" fillId="3" borderId="25" xfId="0" applyFill="1" applyBorder="1"/>
    <xf numFmtId="0" fontId="0" fillId="3" borderId="11" xfId="0" applyFill="1" applyBorder="1"/>
    <xf numFmtId="0" fontId="41" fillId="0" borderId="25" xfId="0" applyFont="1" applyBorder="1"/>
    <xf numFmtId="2" fontId="5" fillId="4" borderId="2" xfId="0" applyNumberFormat="1" applyFont="1" applyFill="1" applyBorder="1" applyAlignment="1">
      <alignment horizontal="center"/>
    </xf>
    <xf numFmtId="2" fontId="5" fillId="4" borderId="21" xfId="0" applyNumberFormat="1" applyFont="1" applyFill="1" applyBorder="1" applyAlignment="1">
      <alignment horizontal="center"/>
    </xf>
    <xf numFmtId="2" fontId="5" fillId="4" borderId="11" xfId="0" applyNumberFormat="1" applyFont="1" applyFill="1" applyBorder="1" applyAlignment="1">
      <alignment horizontal="center"/>
    </xf>
    <xf numFmtId="0" fontId="42" fillId="0" borderId="0" xfId="0" applyFont="1"/>
    <xf numFmtId="170" fontId="0" fillId="4" borderId="21" xfId="2" applyNumberFormat="1" applyFont="1" applyFill="1" applyBorder="1" applyAlignment="1">
      <alignment horizontal="center"/>
    </xf>
    <xf numFmtId="0" fontId="0" fillId="3" borderId="1" xfId="0" applyFill="1" applyBorder="1" applyAlignment="1">
      <alignment horizontal="left"/>
    </xf>
    <xf numFmtId="165" fontId="6" fillId="3" borderId="2" xfId="0" applyNumberFormat="1" applyFont="1" applyFill="1" applyBorder="1" applyAlignment="1">
      <alignment horizontal="center"/>
    </xf>
    <xf numFmtId="0" fontId="41" fillId="0" borderId="0" xfId="0" applyFont="1"/>
    <xf numFmtId="0" fontId="41" fillId="2" borderId="0" xfId="0" applyFont="1" applyFill="1"/>
    <xf numFmtId="0" fontId="5" fillId="2" borderId="2" xfId="0" applyFont="1" applyFill="1" applyBorder="1" applyAlignment="1">
      <alignment horizontal="center" vertical="top" wrapText="1"/>
    </xf>
    <xf numFmtId="2" fontId="28" fillId="3" borderId="2" xfId="0" applyNumberFormat="1" applyFont="1" applyFill="1" applyBorder="1" applyAlignment="1">
      <alignment horizontal="center"/>
    </xf>
    <xf numFmtId="0" fontId="5" fillId="0" borderId="0" xfId="0" applyFont="1" applyAlignment="1">
      <alignment horizontal="right"/>
    </xf>
    <xf numFmtId="2" fontId="5" fillId="4" borderId="30" xfId="0" applyNumberFormat="1" applyFont="1" applyFill="1" applyBorder="1" applyAlignment="1">
      <alignment horizontal="center"/>
    </xf>
    <xf numFmtId="0" fontId="0" fillId="0" borderId="54" xfId="0" applyBorder="1" applyAlignment="1">
      <alignment horizontal="center"/>
    </xf>
    <xf numFmtId="0" fontId="0" fillId="0" borderId="0" xfId="0" applyAlignment="1" applyProtection="1">
      <alignment horizontal="left"/>
      <protection locked="0"/>
    </xf>
    <xf numFmtId="0" fontId="5" fillId="0" borderId="5" xfId="0" applyFont="1" applyBorder="1" applyAlignment="1">
      <alignment horizontal="center" wrapText="1"/>
    </xf>
    <xf numFmtId="0" fontId="5" fillId="0" borderId="0" xfId="0" applyFont="1" applyAlignment="1">
      <alignment horizontal="center" wrapText="1"/>
    </xf>
    <xf numFmtId="0" fontId="40" fillId="0" borderId="0" xfId="0" applyFont="1"/>
    <xf numFmtId="165" fontId="6" fillId="4" borderId="2" xfId="0" applyNumberFormat="1" applyFont="1" applyFill="1" applyBorder="1" applyAlignment="1">
      <alignment horizontal="center"/>
    </xf>
    <xf numFmtId="165" fontId="6" fillId="0" borderId="12" xfId="0" applyNumberFormat="1" applyFont="1" applyBorder="1" applyAlignment="1" applyProtection="1">
      <alignment horizontal="center"/>
      <protection locked="0"/>
    </xf>
    <xf numFmtId="165" fontId="6" fillId="0" borderId="0" xfId="0" applyNumberFormat="1" applyFont="1" applyAlignment="1" applyProtection="1">
      <alignment horizontal="left"/>
      <protection locked="0"/>
    </xf>
    <xf numFmtId="0" fontId="6" fillId="0" borderId="0" xfId="0" applyFont="1" applyAlignment="1">
      <alignment horizontal="left" indent="1"/>
    </xf>
    <xf numFmtId="3" fontId="5" fillId="0" borderId="0" xfId="0" applyNumberFormat="1" applyFont="1" applyAlignment="1">
      <alignment horizontal="center"/>
    </xf>
    <xf numFmtId="49" fontId="45" fillId="0" borderId="2" xfId="0" applyNumberFormat="1" applyFont="1" applyBorder="1" applyAlignment="1">
      <alignment vertical="top" wrapText="1"/>
    </xf>
    <xf numFmtId="3" fontId="0" fillId="4" borderId="2" xfId="0" applyNumberFormat="1" applyFill="1" applyBorder="1" applyAlignment="1">
      <alignment horizontal="center" vertical="center"/>
    </xf>
    <xf numFmtId="0" fontId="0" fillId="4" borderId="2" xfId="0" applyFill="1" applyBorder="1" applyAlignment="1">
      <alignment horizontal="center" vertical="center" wrapText="1"/>
    </xf>
    <xf numFmtId="1" fontId="0" fillId="4" borderId="2" xfId="0" applyNumberFormat="1" applyFill="1" applyBorder="1" applyAlignment="1">
      <alignment horizontal="center" vertical="center"/>
    </xf>
    <xf numFmtId="1" fontId="5" fillId="4" borderId="2" xfId="0" applyNumberFormat="1" applyFont="1" applyFill="1" applyBorder="1" applyAlignment="1">
      <alignment horizontal="center" vertical="center"/>
    </xf>
    <xf numFmtId="0" fontId="0" fillId="0" borderId="2" xfId="0" applyBorder="1" applyAlignment="1">
      <alignment horizontal="left" vertical="center"/>
    </xf>
    <xf numFmtId="0" fontId="0" fillId="0" borderId="2" xfId="0" applyBorder="1" applyAlignment="1">
      <alignment horizontal="left" vertical="center" wrapText="1"/>
    </xf>
    <xf numFmtId="0" fontId="6" fillId="3" borderId="2" xfId="0" applyFont="1" applyFill="1" applyBorder="1" applyAlignment="1">
      <alignment horizontal="center" vertical="center"/>
    </xf>
    <xf numFmtId="0" fontId="45" fillId="0" borderId="2" xfId="0" applyFont="1" applyBorder="1" applyAlignment="1">
      <alignment vertical="top" wrapText="1"/>
    </xf>
    <xf numFmtId="0" fontId="5" fillId="0" borderId="2" xfId="0" applyFont="1" applyBorder="1" applyAlignment="1">
      <alignment horizontal="center" vertical="center" wrapText="1"/>
    </xf>
    <xf numFmtId="0" fontId="3" fillId="0" borderId="4" xfId="0" applyFont="1" applyBorder="1"/>
    <xf numFmtId="0" fontId="3" fillId="0" borderId="17" xfId="0" applyFont="1" applyBorder="1"/>
    <xf numFmtId="0" fontId="0" fillId="0" borderId="11" xfId="0" applyBorder="1" applyAlignment="1">
      <alignment horizontal="left"/>
    </xf>
    <xf numFmtId="0" fontId="6" fillId="0" borderId="1" xfId="0" applyFont="1" applyBorder="1" applyAlignment="1">
      <alignment horizontal="left"/>
    </xf>
    <xf numFmtId="0" fontId="14" fillId="0" borderId="2" xfId="0" applyFont="1" applyBorder="1" applyAlignment="1">
      <alignment horizontal="center"/>
    </xf>
    <xf numFmtId="3" fontId="6" fillId="4" borderId="5" xfId="0" applyNumberFormat="1" applyFont="1" applyFill="1" applyBorder="1" applyAlignment="1">
      <alignment horizontal="center"/>
    </xf>
    <xf numFmtId="4" fontId="6" fillId="4" borderId="2" xfId="0" applyNumberFormat="1" applyFont="1" applyFill="1" applyBorder="1" applyAlignment="1">
      <alignment horizontal="center"/>
    </xf>
    <xf numFmtId="0" fontId="0" fillId="0" borderId="11" xfId="0" applyBorder="1" applyAlignment="1">
      <alignment horizontal="center"/>
    </xf>
    <xf numFmtId="0" fontId="18" fillId="0" borderId="5" xfId="0" applyFont="1" applyBorder="1" applyAlignment="1">
      <alignment horizontal="right"/>
    </xf>
    <xf numFmtId="1" fontId="6" fillId="0" borderId="2" xfId="0" applyNumberFormat="1" applyFont="1" applyBorder="1" applyAlignment="1">
      <alignment horizontal="center"/>
    </xf>
    <xf numFmtId="0" fontId="36" fillId="0" borderId="0" xfId="0" applyFont="1" applyAlignment="1" applyProtection="1">
      <alignment horizontal="left"/>
      <protection locked="0"/>
    </xf>
    <xf numFmtId="3" fontId="0" fillId="0" borderId="12" xfId="1" applyNumberFormat="1" applyFont="1" applyBorder="1" applyAlignment="1" applyProtection="1">
      <alignment horizontal="center"/>
      <protection locked="0"/>
    </xf>
    <xf numFmtId="0" fontId="0" fillId="0" borderId="0" xfId="0" applyAlignment="1" applyProtection="1">
      <alignment horizontal="center"/>
      <protection locked="0"/>
    </xf>
    <xf numFmtId="3" fontId="0" fillId="0" borderId="0" xfId="1" applyNumberFormat="1" applyFont="1" applyBorder="1" applyAlignment="1" applyProtection="1">
      <alignment horizontal="left"/>
      <protection locked="0"/>
    </xf>
    <xf numFmtId="165" fontId="0" fillId="0" borderId="0" xfId="0" applyNumberFormat="1" applyAlignment="1" applyProtection="1">
      <alignment horizontal="left"/>
      <protection locked="0"/>
    </xf>
    <xf numFmtId="4" fontId="0" fillId="0" borderId="12" xfId="1" applyNumberFormat="1" applyFont="1" applyBorder="1" applyAlignment="1" applyProtection="1">
      <alignment horizontal="center"/>
      <protection locked="0"/>
    </xf>
    <xf numFmtId="1" fontId="0" fillId="0" borderId="12" xfId="0" applyNumberFormat="1" applyBorder="1" applyAlignment="1" applyProtection="1">
      <alignment horizontal="center"/>
      <protection locked="0"/>
    </xf>
    <xf numFmtId="165" fontId="5" fillId="0" borderId="9" xfId="0" applyNumberFormat="1" applyFont="1" applyBorder="1" applyAlignment="1">
      <alignment horizontal="center" wrapText="1"/>
    </xf>
    <xf numFmtId="0" fontId="5" fillId="0" borderId="7" xfId="0" applyFont="1" applyBorder="1" applyAlignment="1">
      <alignment horizontal="center" wrapText="1"/>
    </xf>
    <xf numFmtId="2" fontId="6" fillId="0" borderId="2" xfId="0" applyNumberFormat="1" applyFont="1" applyBorder="1" applyAlignment="1">
      <alignment horizontal="center"/>
    </xf>
    <xf numFmtId="165" fontId="6" fillId="0" borderId="2" xfId="0" applyNumberFormat="1" applyFont="1" applyBorder="1" applyAlignment="1">
      <alignment horizontal="center"/>
    </xf>
    <xf numFmtId="0" fontId="6" fillId="0" borderId="0" xfId="0" applyFont="1" applyAlignment="1">
      <alignment horizontal="right"/>
    </xf>
    <xf numFmtId="168" fontId="1" fillId="2" borderId="2" xfId="0" applyNumberFormat="1" applyFont="1" applyFill="1" applyBorder="1" applyAlignment="1">
      <alignment horizontal="center"/>
    </xf>
    <xf numFmtId="168" fontId="1" fillId="4" borderId="2" xfId="0" applyNumberFormat="1" applyFont="1" applyFill="1" applyBorder="1" applyAlignment="1">
      <alignment horizontal="center"/>
    </xf>
    <xf numFmtId="168" fontId="1" fillId="0" borderId="0" xfId="0" applyNumberFormat="1" applyFont="1" applyAlignment="1">
      <alignment horizontal="center"/>
    </xf>
    <xf numFmtId="2" fontId="1" fillId="0" borderId="0" xfId="0" applyNumberFormat="1" applyFont="1" applyAlignment="1" applyProtection="1">
      <alignment horizontal="center"/>
      <protection locked="0"/>
    </xf>
    <xf numFmtId="2" fontId="1" fillId="2" borderId="0" xfId="0" applyNumberFormat="1" applyFont="1" applyFill="1"/>
    <xf numFmtId="165" fontId="6" fillId="0" borderId="0" xfId="0" applyNumberFormat="1" applyFont="1" applyAlignment="1" applyProtection="1">
      <alignment vertical="center" wrapText="1"/>
      <protection locked="0"/>
    </xf>
    <xf numFmtId="0" fontId="0" fillId="0" borderId="0" xfId="0" applyAlignment="1">
      <alignment vertical="center" wrapText="1"/>
    </xf>
    <xf numFmtId="165" fontId="5" fillId="0" borderId="0" xfId="0" applyNumberFormat="1" applyFont="1" applyAlignment="1" applyProtection="1">
      <alignment vertical="top" wrapText="1"/>
      <protection locked="0"/>
    </xf>
    <xf numFmtId="0" fontId="0" fillId="0" borderId="0" xfId="0" applyAlignment="1">
      <alignment vertical="top" wrapText="1"/>
    </xf>
    <xf numFmtId="0" fontId="0" fillId="0" borderId="12" xfId="0" applyBorder="1" applyAlignment="1" applyProtection="1">
      <alignment horizontal="left"/>
      <protection locked="0"/>
    </xf>
    <xf numFmtId="0" fontId="36" fillId="0" borderId="0" xfId="0" applyFont="1" applyAlignment="1" applyProtection="1">
      <alignment horizontal="left"/>
      <protection locked="0"/>
    </xf>
    <xf numFmtId="0" fontId="26" fillId="0" borderId="0" xfId="0" applyFont="1" applyAlignment="1" applyProtection="1">
      <alignment horizontal="center"/>
      <protection locked="0"/>
    </xf>
    <xf numFmtId="0" fontId="37" fillId="0" borderId="0" xfId="0" applyFont="1" applyAlignment="1" applyProtection="1">
      <alignment horizontal="center"/>
      <protection locked="0"/>
    </xf>
    <xf numFmtId="0" fontId="0" fillId="0" borderId="0" xfId="0" applyAlignment="1" applyProtection="1">
      <alignment horizontal="right" indent="1"/>
      <protection locked="0"/>
    </xf>
    <xf numFmtId="169" fontId="0" fillId="0" borderId="12" xfId="0" applyNumberFormat="1" applyBorder="1" applyAlignment="1" applyProtection="1">
      <alignment horizontal="center"/>
      <protection locked="0"/>
    </xf>
    <xf numFmtId="0" fontId="0" fillId="0" borderId="12" xfId="0" applyBorder="1" applyAlignment="1" applyProtection="1">
      <alignment horizontal="center"/>
      <protection locked="0"/>
    </xf>
    <xf numFmtId="0" fontId="26" fillId="0" borderId="0" xfId="0" applyFont="1" applyAlignment="1">
      <alignment horizontal="center"/>
    </xf>
    <xf numFmtId="0" fontId="28" fillId="5" borderId="32" xfId="0" applyFont="1" applyFill="1" applyBorder="1" applyAlignment="1">
      <alignment horizontal="center"/>
    </xf>
    <xf numFmtId="0" fontId="40" fillId="5" borderId="32" xfId="0" applyFont="1" applyFill="1" applyBorder="1" applyAlignment="1">
      <alignment horizontal="center"/>
    </xf>
    <xf numFmtId="0" fontId="0" fillId="0" borderId="12" xfId="0" applyBorder="1" applyAlignment="1">
      <alignment horizontal="left"/>
    </xf>
    <xf numFmtId="0" fontId="0" fillId="0" borderId="25" xfId="0" applyBorder="1" applyAlignment="1">
      <alignment horizontal="left"/>
    </xf>
    <xf numFmtId="0" fontId="0" fillId="0" borderId="54" xfId="0" applyBorder="1" applyAlignment="1">
      <alignment vertical="top" wrapText="1"/>
    </xf>
    <xf numFmtId="0" fontId="0" fillId="0" borderId="55" xfId="0" applyBorder="1" applyAlignment="1">
      <alignment vertical="top"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6" fillId="0" borderId="2" xfId="0" applyFont="1" applyBorder="1" applyAlignment="1">
      <alignment vertical="top" wrapText="1"/>
    </xf>
    <xf numFmtId="0" fontId="6" fillId="0" borderId="0" xfId="0" applyFont="1" applyAlignment="1">
      <alignment horizontal="left" wrapText="1"/>
    </xf>
    <xf numFmtId="0" fontId="6" fillId="0" borderId="1" xfId="0" applyFont="1" applyBorder="1" applyAlignment="1">
      <alignment horizontal="left" vertical="top" wrapText="1"/>
    </xf>
    <xf numFmtId="0" fontId="6" fillId="0" borderId="25" xfId="0" applyFont="1" applyBorder="1" applyAlignment="1">
      <alignment horizontal="left" vertical="top" wrapText="1"/>
    </xf>
    <xf numFmtId="0" fontId="6" fillId="0" borderId="11" xfId="0" applyFont="1" applyBorder="1" applyAlignment="1">
      <alignment horizontal="left" vertical="top"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5" fillId="0" borderId="5" xfId="0" applyFont="1" applyBorder="1" applyAlignment="1">
      <alignment horizontal="center" wrapText="1"/>
    </xf>
    <xf numFmtId="0" fontId="5" fillId="0" borderId="7" xfId="0" applyFont="1" applyBorder="1" applyAlignment="1">
      <alignment horizontal="center" wrapText="1"/>
    </xf>
    <xf numFmtId="0" fontId="6" fillId="2" borderId="49" xfId="0" applyFont="1" applyFill="1" applyBorder="1" applyAlignment="1">
      <alignment horizontal="center" vertical="center"/>
    </xf>
    <xf numFmtId="0" fontId="6" fillId="2" borderId="50" xfId="0" applyFont="1" applyFill="1" applyBorder="1" applyAlignment="1">
      <alignment horizontal="center" vertical="center"/>
    </xf>
    <xf numFmtId="0" fontId="6" fillId="0" borderId="1" xfId="0" applyFont="1" applyBorder="1" applyAlignment="1">
      <alignment wrapText="1"/>
    </xf>
    <xf numFmtId="0" fontId="6" fillId="0" borderId="25" xfId="0" applyFont="1" applyBorder="1" applyAlignment="1">
      <alignment wrapText="1"/>
    </xf>
    <xf numFmtId="0" fontId="6" fillId="0" borderId="11" xfId="0" applyFont="1" applyBorder="1" applyAlignment="1">
      <alignment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3" xfId="0" applyFont="1" applyBorder="1" applyAlignment="1">
      <alignment horizontal="center" vertical="center" wrapText="1"/>
    </xf>
    <xf numFmtId="0" fontId="6" fillId="2" borderId="56" xfId="0" applyFont="1" applyFill="1" applyBorder="1" applyAlignment="1">
      <alignment horizontal="center" vertical="center"/>
    </xf>
    <xf numFmtId="0" fontId="6" fillId="2" borderId="57"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58" xfId="0" applyFont="1" applyFill="1" applyBorder="1" applyAlignment="1">
      <alignment horizontal="center" vertical="center"/>
    </xf>
    <xf numFmtId="1" fontId="12" fillId="3" borderId="1" xfId="0" applyNumberFormat="1" applyFont="1" applyFill="1" applyBorder="1" applyAlignment="1">
      <alignment horizontal="left" wrapText="1"/>
    </xf>
    <xf numFmtId="1" fontId="12" fillId="3" borderId="25" xfId="0" applyNumberFormat="1" applyFont="1" applyFill="1" applyBorder="1" applyAlignment="1">
      <alignment horizontal="left" wrapText="1"/>
    </xf>
    <xf numFmtId="1" fontId="12" fillId="3" borderId="11" xfId="0" applyNumberFormat="1" applyFont="1" applyFill="1" applyBorder="1" applyAlignment="1">
      <alignment horizontal="left" wrapText="1"/>
    </xf>
    <xf numFmtId="165" fontId="6" fillId="0" borderId="1" xfId="0" applyNumberFormat="1" applyFont="1" applyBorder="1" applyAlignment="1">
      <alignment horizontal="center" wrapText="1"/>
    </xf>
    <xf numFmtId="165" fontId="6" fillId="0" borderId="11" xfId="0" applyNumberFormat="1" applyFont="1" applyBorder="1" applyAlignment="1">
      <alignment horizontal="center" wrapText="1"/>
    </xf>
    <xf numFmtId="2" fontId="5" fillId="0" borderId="5" xfId="0" applyNumberFormat="1" applyFont="1" applyBorder="1" applyAlignment="1">
      <alignment horizontal="center" wrapText="1"/>
    </xf>
    <xf numFmtId="2" fontId="5" fillId="0" borderId="7" xfId="0" applyNumberFormat="1" applyFont="1" applyBorder="1" applyAlignment="1">
      <alignment horizontal="center" wrapText="1"/>
    </xf>
    <xf numFmtId="0" fontId="6" fillId="0" borderId="1" xfId="0" applyFont="1" applyBorder="1" applyAlignment="1">
      <alignment horizontal="left" wrapText="1"/>
    </xf>
    <xf numFmtId="0" fontId="6" fillId="0" borderId="25" xfId="0" applyFont="1" applyBorder="1" applyAlignment="1">
      <alignment horizontal="left" wrapText="1"/>
    </xf>
    <xf numFmtId="0" fontId="6" fillId="0" borderId="11" xfId="0" applyFont="1" applyBorder="1" applyAlignment="1">
      <alignment horizontal="left" wrapText="1"/>
    </xf>
    <xf numFmtId="2" fontId="5" fillId="0" borderId="13" xfId="0" applyNumberFormat="1" applyFont="1" applyBorder="1" applyAlignment="1">
      <alignment horizontal="center"/>
    </xf>
    <xf numFmtId="2" fontId="5" fillId="0" borderId="14" xfId="0" applyNumberFormat="1" applyFont="1" applyBorder="1" applyAlignment="1">
      <alignment horizontal="center"/>
    </xf>
    <xf numFmtId="2" fontId="5" fillId="0" borderId="15" xfId="0" applyNumberFormat="1" applyFont="1" applyBorder="1" applyAlignment="1">
      <alignment horizontal="center"/>
    </xf>
    <xf numFmtId="2" fontId="5" fillId="0" borderId="4" xfId="0" applyNumberFormat="1" applyFont="1" applyBorder="1" applyAlignment="1">
      <alignment horizontal="center"/>
    </xf>
    <xf numFmtId="2" fontId="5" fillId="0" borderId="12" xfId="0" applyNumberFormat="1" applyFont="1" applyBorder="1" applyAlignment="1">
      <alignment horizontal="center"/>
    </xf>
    <xf numFmtId="2" fontId="5" fillId="0" borderId="17" xfId="0" applyNumberFormat="1" applyFont="1" applyBorder="1" applyAlignment="1">
      <alignment horizontal="center"/>
    </xf>
    <xf numFmtId="0" fontId="0" fillId="0" borderId="0" xfId="0" applyAlignment="1">
      <alignment horizontal="left" wrapText="1"/>
    </xf>
    <xf numFmtId="0" fontId="18" fillId="0" borderId="5" xfId="0" applyFont="1" applyBorder="1" applyAlignment="1">
      <alignment horizontal="center" wrapText="1"/>
    </xf>
    <xf numFmtId="0" fontId="0" fillId="0" borderId="7" xfId="0" applyBorder="1" applyAlignment="1">
      <alignment horizontal="center" wrapText="1"/>
    </xf>
    <xf numFmtId="0" fontId="33" fillId="0" borderId="0" xfId="0" applyFont="1" applyAlignment="1">
      <alignment horizontal="left" wrapText="1"/>
    </xf>
    <xf numFmtId="0" fontId="4" fillId="0" borderId="0" xfId="0" applyFont="1" applyAlignment="1">
      <alignment wrapText="1"/>
    </xf>
    <xf numFmtId="0" fontId="0" fillId="0" borderId="0" xfId="0" applyAlignment="1">
      <alignment wrapText="1"/>
    </xf>
    <xf numFmtId="0" fontId="5" fillId="0" borderId="1" xfId="0" applyFont="1" applyBorder="1" applyAlignment="1">
      <alignment horizontal="right"/>
    </xf>
    <xf numFmtId="0" fontId="5" fillId="0" borderId="11" xfId="0" applyFont="1" applyBorder="1" applyAlignment="1">
      <alignment horizontal="right"/>
    </xf>
    <xf numFmtId="0" fontId="5" fillId="0" borderId="13" xfId="0" applyFont="1" applyBorder="1" applyAlignment="1">
      <alignment horizontal="center" wrapText="1"/>
    </xf>
    <xf numFmtId="0" fontId="5" fillId="0" borderId="15"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0" fillId="0" borderId="2" xfId="0" applyBorder="1" applyAlignment="1">
      <alignment horizontal="center"/>
    </xf>
    <xf numFmtId="0" fontId="5" fillId="0" borderId="2" xfId="0" applyFont="1" applyBorder="1" applyAlignment="1">
      <alignment horizontal="center"/>
    </xf>
    <xf numFmtId="0" fontId="5" fillId="0" borderId="2" xfId="0" applyFont="1" applyBorder="1" applyAlignment="1">
      <alignment horizontal="center" wrapText="1"/>
    </xf>
    <xf numFmtId="0" fontId="5" fillId="0" borderId="1" xfId="0" applyFont="1" applyBorder="1" applyAlignment="1">
      <alignment horizontal="center"/>
    </xf>
    <xf numFmtId="0" fontId="5" fillId="0" borderId="25" xfId="0" applyFont="1" applyBorder="1" applyAlignment="1">
      <alignment horizontal="center"/>
    </xf>
    <xf numFmtId="0" fontId="5" fillId="0" borderId="11" xfId="0" applyFon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5" fillId="0" borderId="6" xfId="0" applyFont="1" applyBorder="1" applyAlignment="1">
      <alignment horizontal="center" wrapText="1"/>
    </xf>
    <xf numFmtId="0" fontId="41" fillId="0" borderId="0" xfId="0" applyFont="1" applyAlignment="1">
      <alignment wrapText="1"/>
    </xf>
    <xf numFmtId="0" fontId="5" fillId="0" borderId="1" xfId="0" applyFont="1" applyBorder="1" applyAlignment="1">
      <alignment horizontal="center" vertical="top"/>
    </xf>
    <xf numFmtId="0" fontId="5" fillId="0" borderId="25" xfId="0" applyFont="1" applyBorder="1" applyAlignment="1">
      <alignment horizontal="center" vertical="top"/>
    </xf>
    <xf numFmtId="0" fontId="5" fillId="0" borderId="11" xfId="0" applyFont="1" applyBorder="1" applyAlignment="1">
      <alignment horizontal="center" vertical="top"/>
    </xf>
    <xf numFmtId="0" fontId="6" fillId="0" borderId="0" xfId="0" applyFont="1" applyAlignment="1">
      <alignment vertical="top"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2" fontId="5" fillId="0" borderId="2" xfId="0" applyNumberFormat="1" applyFont="1" applyBorder="1" applyAlignment="1">
      <alignment horizontal="center"/>
    </xf>
    <xf numFmtId="0" fontId="6" fillId="0" borderId="2" xfId="0" applyFont="1" applyBorder="1" applyAlignment="1">
      <alignment horizontal="left" vertical="top" wrapText="1"/>
    </xf>
    <xf numFmtId="0" fontId="0" fillId="0" borderId="2" xfId="0" applyBorder="1" applyAlignment="1">
      <alignment vertical="center" wrapText="1"/>
    </xf>
    <xf numFmtId="0" fontId="0" fillId="5" borderId="0" xfId="0" applyFill="1" applyAlignment="1">
      <alignment horizontal="center"/>
    </xf>
    <xf numFmtId="0" fontId="0" fillId="0" borderId="2" xfId="0" applyBorder="1" applyAlignment="1">
      <alignment horizontal="center" vertical="center"/>
    </xf>
    <xf numFmtId="0" fontId="0" fillId="3" borderId="1" xfId="0" applyFill="1" applyBorder="1" applyAlignment="1">
      <alignment horizontal="left" vertical="center" wrapText="1"/>
    </xf>
    <xf numFmtId="0" fontId="0" fillId="3" borderId="25" xfId="0" applyFill="1" applyBorder="1" applyAlignment="1">
      <alignment horizontal="left" vertical="center" wrapText="1"/>
    </xf>
    <xf numFmtId="0" fontId="0" fillId="3" borderId="11" xfId="0" applyFill="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5" borderId="0" xfId="0" applyFill="1" applyAlignment="1">
      <alignment horizontal="center" wrapText="1"/>
    </xf>
    <xf numFmtId="0" fontId="5" fillId="0" borderId="1" xfId="0" applyFont="1" applyBorder="1" applyAlignment="1">
      <alignment horizontal="left" wrapText="1"/>
    </xf>
    <xf numFmtId="0" fontId="5" fillId="0" borderId="25" xfId="0" applyFont="1" applyBorder="1" applyAlignment="1">
      <alignment horizontal="left" wrapText="1"/>
    </xf>
    <xf numFmtId="0" fontId="5" fillId="0" borderId="11" xfId="0" applyFont="1" applyBorder="1" applyAlignment="1">
      <alignment horizontal="left"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5" borderId="12" xfId="0" applyFill="1" applyBorder="1" applyAlignment="1">
      <alignment horizontal="center" wrapText="1"/>
    </xf>
    <xf numFmtId="0" fontId="1" fillId="0" borderId="2" xfId="0" applyFont="1" applyBorder="1" applyAlignment="1">
      <alignment vertical="center" wrapText="1"/>
    </xf>
    <xf numFmtId="0" fontId="1" fillId="5" borderId="0" xfId="0" applyFont="1" applyFill="1" applyAlignment="1">
      <alignment horizontal="center"/>
    </xf>
    <xf numFmtId="0" fontId="1" fillId="0" borderId="2" xfId="0" applyFont="1" applyBorder="1" applyAlignment="1">
      <alignment horizontal="center" vertical="center"/>
    </xf>
    <xf numFmtId="0" fontId="1" fillId="3" borderId="1" xfId="0" applyFont="1" applyFill="1" applyBorder="1" applyAlignment="1">
      <alignment horizontal="left" vertical="center" wrapText="1"/>
    </xf>
    <xf numFmtId="0" fontId="1" fillId="3" borderId="25"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0" fillId="0" borderId="2" xfId="0" applyBorder="1" applyAlignment="1">
      <alignment horizontal="center" vertical="center" wrapText="1"/>
    </xf>
    <xf numFmtId="0" fontId="0" fillId="5" borderId="12" xfId="0" applyFill="1" applyBorder="1" applyAlignment="1">
      <alignment horizont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2" fontId="5" fillId="0" borderId="16" xfId="0" applyNumberFormat="1" applyFont="1" applyBorder="1" applyAlignment="1">
      <alignment horizontal="center" wrapText="1"/>
    </xf>
    <xf numFmtId="2" fontId="5" fillId="0" borderId="17" xfId="0" applyNumberFormat="1" applyFont="1" applyBorder="1" applyAlignment="1">
      <alignment horizontal="center" wrapText="1"/>
    </xf>
    <xf numFmtId="2" fontId="5" fillId="0" borderId="5" xfId="0" applyNumberFormat="1" applyFont="1" applyBorder="1" applyAlignment="1">
      <alignment horizontal="center"/>
    </xf>
    <xf numFmtId="2" fontId="5" fillId="0" borderId="7" xfId="0" applyNumberFormat="1" applyFont="1" applyBorder="1" applyAlignment="1">
      <alignment horizontal="center"/>
    </xf>
    <xf numFmtId="0" fontId="6" fillId="0" borderId="4" xfId="0" applyFont="1" applyBorder="1" applyAlignment="1">
      <alignment horizontal="left" wrapText="1"/>
    </xf>
    <xf numFmtId="0" fontId="6" fillId="0" borderId="17" xfId="0" applyFont="1" applyBorder="1" applyAlignment="1">
      <alignment horizontal="left" wrapText="1"/>
    </xf>
    <xf numFmtId="0" fontId="6" fillId="0" borderId="2" xfId="0" applyFont="1" applyBorder="1" applyAlignment="1">
      <alignment horizontal="left"/>
    </xf>
    <xf numFmtId="2" fontId="6" fillId="0" borderId="2" xfId="0" applyNumberFormat="1" applyFont="1" applyBorder="1" applyAlignment="1">
      <alignment horizontal="center"/>
    </xf>
    <xf numFmtId="0" fontId="6" fillId="0" borderId="5" xfId="0" applyFont="1" applyBorder="1" applyAlignment="1">
      <alignment horizontal="center" wrapText="1"/>
    </xf>
    <xf numFmtId="0" fontId="6" fillId="0" borderId="7" xfId="0" applyFont="1" applyBorder="1" applyAlignment="1">
      <alignment horizontal="center" wrapText="1"/>
    </xf>
    <xf numFmtId="0" fontId="47" fillId="0" borderId="3" xfId="0" applyFont="1" applyBorder="1" applyAlignment="1">
      <alignment vertical="top" wrapText="1"/>
    </xf>
    <xf numFmtId="0" fontId="47" fillId="0" borderId="16" xfId="0" applyFont="1" applyBorder="1" applyAlignment="1">
      <alignment vertical="top" wrapText="1"/>
    </xf>
    <xf numFmtId="0" fontId="35" fillId="0" borderId="4" xfId="0" applyFont="1" applyBorder="1" applyAlignment="1">
      <alignment horizontal="center" wrapText="1"/>
    </xf>
    <xf numFmtId="0" fontId="35" fillId="0" borderId="17" xfId="0" applyFont="1" applyBorder="1" applyAlignment="1">
      <alignment horizontal="center" wrapText="1"/>
    </xf>
    <xf numFmtId="0" fontId="0" fillId="0" borderId="0" xfId="0" applyAlignment="1"/>
  </cellXfs>
  <cellStyles count="3">
    <cellStyle name="Comma" xfId="1" builtinId="3"/>
    <cellStyle name="Normal" xfId="0" builtinId="0"/>
    <cellStyle name="Percent" xfId="2" builtinId="5"/>
  </cellStyles>
  <dxfs count="10">
    <dxf>
      <font>
        <condense val="0"/>
        <extend val="0"/>
        <color auto="1"/>
      </font>
      <fill>
        <patternFill>
          <bgColor indexed="42"/>
        </patternFill>
      </fill>
    </dxf>
    <dxf>
      <fill>
        <patternFill>
          <bgColor indexed="22"/>
        </patternFill>
      </fill>
    </dxf>
    <dxf>
      <font>
        <condense val="0"/>
        <extend val="0"/>
        <color indexed="10"/>
      </font>
      <fill>
        <patternFill patternType="none">
          <bgColor indexed="65"/>
        </patternFill>
      </fill>
    </dxf>
    <dxf>
      <fill>
        <patternFill>
          <bgColor indexed="11"/>
        </patternFill>
      </fill>
    </dxf>
    <dxf>
      <font>
        <condense val="0"/>
        <extend val="0"/>
        <color auto="1"/>
      </font>
      <fill>
        <patternFill>
          <bgColor indexed="42"/>
        </patternFill>
      </fill>
    </dxf>
    <dxf>
      <fill>
        <patternFill>
          <bgColor indexed="22"/>
        </patternFill>
      </fill>
    </dxf>
    <dxf>
      <font>
        <condense val="0"/>
        <extend val="0"/>
        <color indexed="10"/>
      </font>
      <fill>
        <patternFill patternType="none">
          <bgColor indexed="65"/>
        </patternFill>
      </fill>
    </dxf>
    <dxf>
      <fill>
        <patternFill>
          <bgColor indexed="11"/>
        </patternFill>
      </fill>
    </dxf>
    <dxf>
      <font>
        <strike/>
      </font>
    </dxf>
    <dxf>
      <font>
        <condense val="0"/>
        <extend val="0"/>
        <color auto="1"/>
      </font>
      <fill>
        <patternFill>
          <bgColor indexed="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J58"/>
  <sheetViews>
    <sheetView showGridLines="0" tabSelected="1" zoomScaleNormal="100" workbookViewId="0">
      <selection activeCell="H1" sqref="H1:I1"/>
    </sheetView>
  </sheetViews>
  <sheetFormatPr defaultRowHeight="12.75"/>
  <cols>
    <col min="1" max="1" width="7.140625" style="164" customWidth="1"/>
    <col min="2" max="2" width="2.85546875" style="164" customWidth="1"/>
    <col min="3" max="3" width="3.140625" style="164" customWidth="1"/>
    <col min="4" max="7" width="18.7109375" style="164" customWidth="1"/>
    <col min="8" max="8" width="2.85546875" style="164" customWidth="1"/>
    <col min="9" max="9" width="7.7109375" style="164" customWidth="1"/>
    <col min="10" max="16384" width="9.140625" style="164"/>
  </cols>
  <sheetData>
    <row r="1" spans="1:10">
      <c r="D1" s="230"/>
      <c r="G1" s="230" t="s">
        <v>0</v>
      </c>
      <c r="H1" s="377"/>
      <c r="I1" s="377"/>
    </row>
    <row r="2" spans="1:10">
      <c r="D2" s="230"/>
      <c r="G2" s="230" t="s">
        <v>1</v>
      </c>
      <c r="H2" s="377"/>
      <c r="I2" s="377"/>
    </row>
    <row r="3" spans="1:10">
      <c r="D3" s="230"/>
    </row>
    <row r="4" spans="1:10" ht="18">
      <c r="A4" s="374" t="s">
        <v>2</v>
      </c>
      <c r="B4" s="374"/>
      <c r="C4" s="374"/>
      <c r="D4" s="374"/>
      <c r="E4" s="374"/>
      <c r="F4" s="374"/>
      <c r="G4" s="374"/>
      <c r="H4" s="374"/>
      <c r="I4" s="374"/>
      <c r="J4" s="163"/>
    </row>
    <row r="5" spans="1:10" ht="18">
      <c r="A5" s="374" t="s">
        <v>3</v>
      </c>
      <c r="B5" s="374"/>
      <c r="C5" s="374"/>
      <c r="D5" s="374"/>
      <c r="E5" s="374"/>
      <c r="F5" s="374"/>
      <c r="G5" s="374"/>
      <c r="H5" s="374"/>
      <c r="I5" s="374"/>
      <c r="J5" s="163"/>
    </row>
    <row r="6" spans="1:10">
      <c r="A6" s="214"/>
      <c r="B6" s="214"/>
      <c r="C6" s="214"/>
      <c r="D6" s="214"/>
      <c r="E6" s="214"/>
      <c r="F6" s="214"/>
      <c r="G6" s="214"/>
      <c r="H6" s="214"/>
      <c r="I6" s="214"/>
    </row>
    <row r="7" spans="1:10" ht="18">
      <c r="A7" s="374" t="s">
        <v>4</v>
      </c>
      <c r="B7" s="374"/>
      <c r="C7" s="374"/>
      <c r="D7" s="374"/>
      <c r="E7" s="374"/>
      <c r="F7" s="374"/>
      <c r="G7" s="374"/>
      <c r="H7" s="374"/>
      <c r="I7" s="374"/>
      <c r="J7" s="163"/>
    </row>
    <row r="8" spans="1:10">
      <c r="A8" s="375" t="s">
        <v>5</v>
      </c>
      <c r="B8" s="375"/>
      <c r="C8" s="375"/>
      <c r="D8" s="375"/>
      <c r="E8" s="375"/>
      <c r="F8" s="375"/>
      <c r="G8" s="375"/>
      <c r="H8" s="375"/>
      <c r="I8" s="375"/>
    </row>
    <row r="10" spans="1:10">
      <c r="B10" s="165"/>
      <c r="C10" s="166"/>
      <c r="D10" s="166"/>
      <c r="E10" s="166"/>
      <c r="F10" s="166"/>
      <c r="G10" s="166"/>
      <c r="H10" s="167"/>
    </row>
    <row r="11" spans="1:10">
      <c r="B11" s="168"/>
      <c r="C11" s="164" t="s">
        <v>6</v>
      </c>
      <c r="H11" s="169"/>
    </row>
    <row r="12" spans="1:10">
      <c r="B12" s="168"/>
      <c r="D12" s="378"/>
      <c r="E12" s="378"/>
      <c r="F12" s="353"/>
      <c r="H12" s="169"/>
    </row>
    <row r="13" spans="1:10">
      <c r="B13" s="168"/>
      <c r="H13" s="169"/>
    </row>
    <row r="14" spans="1:10">
      <c r="B14" s="168"/>
      <c r="C14" s="164" t="s">
        <v>7</v>
      </c>
      <c r="H14" s="169"/>
    </row>
    <row r="15" spans="1:10">
      <c r="B15" s="168"/>
      <c r="D15" s="372"/>
      <c r="E15" s="372"/>
      <c r="F15" s="372"/>
      <c r="G15" s="372"/>
      <c r="H15" s="169"/>
    </row>
    <row r="16" spans="1:10">
      <c r="B16" s="168"/>
      <c r="H16" s="169"/>
    </row>
    <row r="17" spans="2:8">
      <c r="B17" s="168"/>
      <c r="C17" s="164" t="s">
        <v>8</v>
      </c>
      <c r="H17" s="169"/>
    </row>
    <row r="18" spans="2:8">
      <c r="B18" s="168"/>
      <c r="D18" s="372"/>
      <c r="E18" s="372"/>
      <c r="F18" s="372"/>
      <c r="G18" s="372"/>
      <c r="H18" s="169"/>
    </row>
    <row r="19" spans="2:8">
      <c r="B19" s="168"/>
      <c r="D19" s="372"/>
      <c r="E19" s="372"/>
      <c r="F19" s="372"/>
      <c r="G19" s="372"/>
      <c r="H19" s="169"/>
    </row>
    <row r="20" spans="2:8">
      <c r="B20" s="168"/>
      <c r="H20" s="169"/>
    </row>
    <row r="21" spans="2:8">
      <c r="B21" s="168"/>
      <c r="C21" s="376" t="s">
        <v>9</v>
      </c>
      <c r="D21" s="376"/>
      <c r="E21" s="376"/>
      <c r="F21" s="372"/>
      <c r="G21" s="372"/>
      <c r="H21" s="169"/>
    </row>
    <row r="22" spans="2:8">
      <c r="B22" s="168"/>
      <c r="C22" s="376" t="s">
        <v>10</v>
      </c>
      <c r="D22" s="376"/>
      <c r="E22" s="376"/>
      <c r="F22" s="372"/>
      <c r="G22" s="372"/>
      <c r="H22" s="169"/>
    </row>
    <row r="23" spans="2:8">
      <c r="B23" s="168"/>
      <c r="H23" s="169"/>
    </row>
    <row r="24" spans="2:8">
      <c r="B24" s="168"/>
      <c r="C24" s="164" t="s">
        <v>11</v>
      </c>
      <c r="H24" s="169"/>
    </row>
    <row r="25" spans="2:8">
      <c r="B25" s="168"/>
      <c r="D25" s="372"/>
      <c r="E25" s="372"/>
      <c r="F25" s="372"/>
      <c r="G25" s="372"/>
      <c r="H25" s="169"/>
    </row>
    <row r="26" spans="2:8">
      <c r="B26" s="168"/>
      <c r="D26" s="372"/>
      <c r="E26" s="372"/>
      <c r="F26" s="372"/>
      <c r="G26" s="372"/>
      <c r="H26" s="169"/>
    </row>
    <row r="27" spans="2:8">
      <c r="B27" s="168"/>
      <c r="D27" s="372"/>
      <c r="E27" s="372"/>
      <c r="F27" s="372"/>
      <c r="G27" s="372"/>
      <c r="H27" s="169"/>
    </row>
    <row r="28" spans="2:8">
      <c r="B28" s="168"/>
      <c r="D28" s="372"/>
      <c r="E28" s="372"/>
      <c r="F28" s="372"/>
      <c r="G28" s="372"/>
      <c r="H28" s="169"/>
    </row>
    <row r="29" spans="2:8">
      <c r="B29" s="168"/>
      <c r="H29" s="169"/>
    </row>
    <row r="30" spans="2:8">
      <c r="B30" s="168"/>
      <c r="C30" s="164" t="s">
        <v>12</v>
      </c>
      <c r="H30" s="169"/>
    </row>
    <row r="31" spans="2:8">
      <c r="B31" s="168"/>
      <c r="D31" s="372"/>
      <c r="E31" s="372"/>
      <c r="F31" s="372"/>
      <c r="G31" s="372"/>
      <c r="H31" s="169"/>
    </row>
    <row r="32" spans="2:8">
      <c r="B32" s="168"/>
      <c r="D32" s="372"/>
      <c r="E32" s="372"/>
      <c r="F32" s="372"/>
      <c r="G32" s="372"/>
      <c r="H32" s="169"/>
    </row>
    <row r="33" spans="2:8">
      <c r="B33" s="168"/>
      <c r="D33" s="322"/>
      <c r="E33" s="322"/>
      <c r="F33" s="322"/>
      <c r="G33" s="322"/>
      <c r="H33" s="169"/>
    </row>
    <row r="34" spans="2:8">
      <c r="B34" s="168"/>
      <c r="C34" s="164" t="s">
        <v>13</v>
      </c>
      <c r="H34" s="169"/>
    </row>
    <row r="35" spans="2:8">
      <c r="B35" s="168"/>
      <c r="D35" s="372"/>
      <c r="E35" s="372"/>
      <c r="F35" s="372"/>
      <c r="G35" s="372"/>
      <c r="H35" s="169"/>
    </row>
    <row r="36" spans="2:8">
      <c r="B36" s="168"/>
      <c r="H36" s="169"/>
    </row>
    <row r="37" spans="2:8">
      <c r="B37" s="168"/>
      <c r="C37" s="164" t="s">
        <v>14</v>
      </c>
      <c r="H37" s="169"/>
    </row>
    <row r="38" spans="2:8">
      <c r="B38" s="168"/>
      <c r="D38" s="352"/>
      <c r="E38" s="354" t="s">
        <v>15</v>
      </c>
      <c r="F38" s="356" t="str">
        <f>IF(D38="","",D38/43560)</f>
        <v/>
      </c>
      <c r="G38" s="354" t="s">
        <v>16</v>
      </c>
      <c r="H38" s="169"/>
    </row>
    <row r="39" spans="2:8">
      <c r="B39" s="168"/>
      <c r="E39" s="322"/>
      <c r="H39" s="169"/>
    </row>
    <row r="40" spans="2:8">
      <c r="B40" s="168"/>
      <c r="C40" s="164" t="s">
        <v>17</v>
      </c>
      <c r="E40" s="322"/>
      <c r="H40" s="169"/>
    </row>
    <row r="41" spans="2:8">
      <c r="B41" s="168"/>
      <c r="D41" s="357"/>
      <c r="E41" s="355" t="s">
        <v>15</v>
      </c>
      <c r="F41" s="356" t="str">
        <f>IF(D41="","",D41/43560)</f>
        <v/>
      </c>
      <c r="G41" s="355" t="s">
        <v>16</v>
      </c>
      <c r="H41" s="169"/>
    </row>
    <row r="42" spans="2:8">
      <c r="B42" s="168"/>
      <c r="D42" s="231"/>
      <c r="E42" s="231"/>
      <c r="F42" s="231"/>
      <c r="H42" s="169"/>
    </row>
    <row r="43" spans="2:8">
      <c r="B43" s="168"/>
      <c r="C43" s="164" t="s">
        <v>18</v>
      </c>
      <c r="D43" s="231"/>
      <c r="E43" s="231"/>
      <c r="F43" s="231"/>
      <c r="H43" s="169"/>
    </row>
    <row r="44" spans="2:8">
      <c r="B44" s="168"/>
      <c r="D44" s="231"/>
      <c r="E44" s="231"/>
      <c r="F44" s="231"/>
      <c r="H44" s="169"/>
    </row>
    <row r="45" spans="2:8" ht="24" customHeight="1">
      <c r="B45" s="168"/>
      <c r="D45" s="368" t="s">
        <v>19</v>
      </c>
      <c r="E45" s="369"/>
      <c r="F45" s="369"/>
      <c r="G45" s="369"/>
      <c r="H45" s="169"/>
    </row>
    <row r="46" spans="2:8">
      <c r="B46" s="168"/>
      <c r="D46" s="231"/>
      <c r="E46" s="231"/>
      <c r="F46" s="231"/>
      <c r="H46" s="169"/>
    </row>
    <row r="47" spans="2:8">
      <c r="B47" s="168"/>
      <c r="D47" s="327" t="s">
        <v>20</v>
      </c>
      <c r="E47" s="328" t="s">
        <v>21</v>
      </c>
      <c r="F47" s="328"/>
      <c r="H47" s="169"/>
    </row>
    <row r="48" spans="2:8" ht="24" customHeight="1">
      <c r="B48" s="168"/>
      <c r="D48" s="370" t="str">
        <f>IF(D47="Yes","Complete Tab 3.0 to demonstrate compliance with the Sustainable Development Policy.","")</f>
        <v/>
      </c>
      <c r="E48" s="371"/>
      <c r="F48" s="371"/>
      <c r="G48" s="371"/>
      <c r="H48" s="169"/>
    </row>
    <row r="49" spans="2:8">
      <c r="B49" s="170"/>
      <c r="C49" s="171"/>
      <c r="D49" s="171"/>
      <c r="E49" s="171"/>
      <c r="F49" s="171"/>
      <c r="G49" s="171"/>
      <c r="H49" s="172"/>
    </row>
    <row r="51" spans="2:8">
      <c r="C51" s="229" t="s">
        <v>22</v>
      </c>
      <c r="D51" s="213"/>
    </row>
    <row r="52" spans="2:8">
      <c r="C52" s="229" t="s">
        <v>23</v>
      </c>
      <c r="D52" s="213"/>
    </row>
    <row r="53" spans="2:8">
      <c r="C53" s="229" t="s">
        <v>24</v>
      </c>
      <c r="D53" s="213"/>
    </row>
    <row r="55" spans="2:8">
      <c r="C55" s="373" t="s">
        <v>25</v>
      </c>
      <c r="D55" s="373"/>
      <c r="E55" s="373"/>
      <c r="F55" s="351"/>
    </row>
    <row r="56" spans="2:8">
      <c r="C56" s="209"/>
      <c r="D56" s="208" t="s">
        <v>26</v>
      </c>
    </row>
    <row r="57" spans="2:8">
      <c r="C57" s="210"/>
      <c r="D57" s="208" t="s">
        <v>27</v>
      </c>
    </row>
    <row r="58" spans="2:8">
      <c r="C58" s="212"/>
      <c r="D58" s="208" t="s">
        <v>28</v>
      </c>
    </row>
  </sheetData>
  <mergeCells count="24">
    <mergeCell ref="F22:G22"/>
    <mergeCell ref="C22:E22"/>
    <mergeCell ref="H1:I1"/>
    <mergeCell ref="H2:I2"/>
    <mergeCell ref="D12:E12"/>
    <mergeCell ref="D18:G18"/>
    <mergeCell ref="A7:I7"/>
    <mergeCell ref="A4:I4"/>
    <mergeCell ref="D45:G45"/>
    <mergeCell ref="D48:G48"/>
    <mergeCell ref="D35:G35"/>
    <mergeCell ref="C55:E55"/>
    <mergeCell ref="A5:I5"/>
    <mergeCell ref="D15:G15"/>
    <mergeCell ref="A8:I8"/>
    <mergeCell ref="C21:E21"/>
    <mergeCell ref="D31:G31"/>
    <mergeCell ref="D19:G19"/>
    <mergeCell ref="D32:G32"/>
    <mergeCell ref="D25:G25"/>
    <mergeCell ref="D26:G26"/>
    <mergeCell ref="D27:G27"/>
    <mergeCell ref="D28:G28"/>
    <mergeCell ref="F21:G21"/>
  </mergeCells>
  <phoneticPr fontId="0" type="noConversion"/>
  <printOptions horizontalCentered="1"/>
  <pageMargins left="0.75" right="0.75" top="1" bottom="1" header="0.5" footer="0.5"/>
  <pageSetup scale="88" orientation="portrait" verticalDpi="300" r:id="rId1"/>
  <headerFooter alignWithMargins="0">
    <oddFooter>&amp;L&amp;8City of Chicago
Dept. of Water Management&amp;C&amp;8Permit Application&amp;R&amp;8&amp;A
Page 1</oddFooter>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53"/>
  <sheetViews>
    <sheetView zoomScaleNormal="100" workbookViewId="0">
      <selection activeCell="E11" sqref="E11"/>
    </sheetView>
  </sheetViews>
  <sheetFormatPr defaultRowHeight="12.75"/>
  <cols>
    <col min="1" max="1" width="15" customWidth="1"/>
    <col min="2" max="2" width="6.140625" style="86" customWidth="1"/>
    <col min="3" max="3" width="39.28515625" customWidth="1"/>
    <col min="4" max="4" width="15" style="98" customWidth="1"/>
    <col min="5" max="5" width="14" customWidth="1"/>
    <col min="6" max="6" width="11.28515625" customWidth="1"/>
  </cols>
  <sheetData>
    <row r="1" spans="1:8" ht="18">
      <c r="A1" s="104" t="s">
        <v>2</v>
      </c>
      <c r="B1" s="97"/>
      <c r="C1" s="97"/>
      <c r="D1" s="97"/>
      <c r="E1" s="97"/>
      <c r="F1" s="97"/>
      <c r="G1" s="97"/>
      <c r="H1" s="97"/>
    </row>
    <row r="2" spans="1:8" ht="18">
      <c r="A2" s="104" t="s">
        <v>3</v>
      </c>
      <c r="B2" s="97"/>
      <c r="C2" s="97"/>
      <c r="D2" s="97"/>
      <c r="E2" s="97"/>
      <c r="F2" s="97"/>
      <c r="G2" s="97"/>
      <c r="H2" s="97"/>
    </row>
    <row r="3" spans="1:8" ht="12.75" customHeight="1">
      <c r="A3" s="104"/>
      <c r="B3" s="97"/>
      <c r="C3" s="97"/>
      <c r="D3" s="97"/>
      <c r="E3" s="97"/>
      <c r="F3" s="97"/>
      <c r="G3" s="97"/>
      <c r="H3" s="97"/>
    </row>
    <row r="4" spans="1:8" ht="12.75" customHeight="1">
      <c r="A4" t="s">
        <v>54</v>
      </c>
      <c r="B4" s="96" t="str">
        <f>IF(COVER!$D$15="","",COVER!$D$15)</f>
        <v/>
      </c>
      <c r="C4" s="118"/>
      <c r="D4" s="97"/>
      <c r="E4" s="97"/>
      <c r="F4" s="97"/>
      <c r="G4" s="97"/>
      <c r="H4" s="97"/>
    </row>
    <row r="5" spans="1:8" ht="12.75" customHeight="1">
      <c r="A5" t="s">
        <v>55</v>
      </c>
      <c r="B5" s="119" t="str">
        <f>IF(COVER!$D$18="","",COVER!$D$18)</f>
        <v/>
      </c>
      <c r="C5" s="120"/>
      <c r="D5" s="97"/>
      <c r="E5" s="97"/>
      <c r="F5" s="97"/>
      <c r="G5" s="97"/>
      <c r="H5" s="97"/>
    </row>
    <row r="6" spans="1:8" ht="12.75" customHeight="1">
      <c r="A6" t="s">
        <v>56</v>
      </c>
      <c r="B6" s="119" t="str">
        <f>IF(COVER!$F$21="","",COVER!$F$21)</f>
        <v/>
      </c>
      <c r="C6" s="120"/>
      <c r="D6" s="97"/>
      <c r="E6" s="97"/>
      <c r="F6" s="97"/>
      <c r="G6" s="97"/>
      <c r="H6" s="97"/>
    </row>
    <row r="8" spans="1:8" ht="15.75">
      <c r="B8" s="129" t="s">
        <v>386</v>
      </c>
    </row>
    <row r="10" spans="1:8">
      <c r="B10" s="465" t="s">
        <v>345</v>
      </c>
      <c r="C10" s="465"/>
      <c r="D10" s="465"/>
      <c r="E10" s="465"/>
      <c r="F10" s="465"/>
    </row>
    <row r="11" spans="1:8" ht="15.75">
      <c r="B11" s="130">
        <v>1</v>
      </c>
      <c r="C11" s="131" t="s">
        <v>346</v>
      </c>
      <c r="D11" s="83" t="s">
        <v>347</v>
      </c>
      <c r="E11" s="121"/>
      <c r="F11" s="76" t="s">
        <v>348</v>
      </c>
    </row>
    <row r="12" spans="1:8" ht="25.5">
      <c r="B12" s="132">
        <v>2</v>
      </c>
      <c r="C12" s="133" t="s">
        <v>349</v>
      </c>
      <c r="D12" s="83" t="s">
        <v>198</v>
      </c>
      <c r="E12" s="134"/>
      <c r="F12" s="76" t="s">
        <v>141</v>
      </c>
    </row>
    <row r="13" spans="1:8" ht="25.5">
      <c r="B13" s="132">
        <v>3</v>
      </c>
      <c r="C13" s="135" t="str">
        <f>IF('1.0 RATE CONTROL'!E45="Yes","Volume of upstream runoff from a 1/2-inch storm = C * At * (0.5) * 1/12","Volume of upstream runoff from a 1-inch storm = C * At * 1/12")</f>
        <v>Volume of upstream runoff from a 1-inch storm = C * At * 1/12</v>
      </c>
      <c r="D13" s="83" t="s">
        <v>350</v>
      </c>
      <c r="E13" s="185">
        <f>IF('1.0 RATE CONTROL'!E45="Yes",E11*E12*(0.5)*(1/12),E11*E12*1/12)</f>
        <v>0</v>
      </c>
      <c r="F13" s="76" t="s">
        <v>339</v>
      </c>
    </row>
    <row r="14" spans="1:8" ht="25.5">
      <c r="B14" s="132">
        <v>4</v>
      </c>
      <c r="C14" s="135" t="s">
        <v>387</v>
      </c>
      <c r="D14" s="83" t="s">
        <v>388</v>
      </c>
      <c r="E14" s="136"/>
      <c r="F14" s="76" t="s">
        <v>389</v>
      </c>
    </row>
    <row r="15" spans="1:8" ht="28.5">
      <c r="B15" s="132">
        <v>5</v>
      </c>
      <c r="C15" s="135" t="s">
        <v>390</v>
      </c>
      <c r="D15" s="83" t="s">
        <v>391</v>
      </c>
      <c r="E15" s="198" t="str">
        <f>IF(E14="","",IF(E14&lt;5,"Tc &gt; 5",64/(E14^0.9+8)))</f>
        <v/>
      </c>
      <c r="F15" s="76" t="s">
        <v>356</v>
      </c>
    </row>
    <row r="16" spans="1:8" ht="15.75">
      <c r="B16" s="132">
        <v>6</v>
      </c>
      <c r="C16" s="135" t="s">
        <v>392</v>
      </c>
      <c r="D16" s="83" t="s">
        <v>393</v>
      </c>
      <c r="E16" s="199" t="str">
        <f>IF(E14="","",E15*0.75*E12*E11/43560)</f>
        <v/>
      </c>
      <c r="F16" s="76" t="s">
        <v>168</v>
      </c>
    </row>
    <row r="17" spans="2:6" ht="26.25" customHeight="1">
      <c r="B17" s="130">
        <v>7</v>
      </c>
      <c r="C17" s="135" t="s">
        <v>351</v>
      </c>
      <c r="D17" s="467"/>
      <c r="E17" s="468"/>
      <c r="F17" s="469"/>
    </row>
    <row r="18" spans="2:6">
      <c r="B18"/>
    </row>
    <row r="19" spans="2:6">
      <c r="B19" s="465" t="s">
        <v>353</v>
      </c>
      <c r="C19" s="465"/>
      <c r="D19" s="465"/>
      <c r="E19" s="465"/>
      <c r="F19" s="465"/>
    </row>
    <row r="20" spans="2:6" ht="38.25">
      <c r="B20" s="130">
        <v>8</v>
      </c>
      <c r="C20" s="135" t="s">
        <v>354</v>
      </c>
      <c r="D20" s="83" t="s">
        <v>355</v>
      </c>
      <c r="E20" s="134"/>
      <c r="F20" s="76" t="s">
        <v>356</v>
      </c>
    </row>
    <row r="21" spans="2:6" ht="38.25">
      <c r="B21" s="132">
        <v>9</v>
      </c>
      <c r="C21" s="135" t="s">
        <v>357</v>
      </c>
      <c r="D21" s="82" t="s">
        <v>358</v>
      </c>
      <c r="E21" s="159"/>
      <c r="F21" s="78" t="s">
        <v>287</v>
      </c>
    </row>
    <row r="22" spans="2:6" ht="15.75">
      <c r="B22" s="132">
        <v>10</v>
      </c>
      <c r="C22" s="135" t="s">
        <v>359</v>
      </c>
      <c r="D22" s="82" t="s">
        <v>360</v>
      </c>
      <c r="E22" s="159"/>
      <c r="F22" s="78" t="s">
        <v>287</v>
      </c>
    </row>
    <row r="23" spans="2:6" ht="38.25">
      <c r="B23" s="132">
        <v>11</v>
      </c>
      <c r="C23" s="135" t="s">
        <v>361</v>
      </c>
      <c r="D23" s="82" t="s">
        <v>362</v>
      </c>
      <c r="E23" s="195">
        <f>E21-E22</f>
        <v>0</v>
      </c>
      <c r="F23" s="78" t="s">
        <v>287</v>
      </c>
    </row>
    <row r="24" spans="2:6">
      <c r="B24"/>
      <c r="C24" s="86"/>
    </row>
    <row r="25" spans="2:6">
      <c r="B25" s="465" t="s">
        <v>363</v>
      </c>
      <c r="C25" s="465"/>
      <c r="D25" s="465"/>
      <c r="E25" s="465"/>
      <c r="F25" s="465"/>
    </row>
    <row r="26" spans="2:6">
      <c r="B26" s="473">
        <v>12</v>
      </c>
      <c r="C26" s="470" t="s">
        <v>394</v>
      </c>
      <c r="D26" s="83" t="s">
        <v>365</v>
      </c>
      <c r="E26" s="121"/>
      <c r="F26" s="76" t="s">
        <v>287</v>
      </c>
    </row>
    <row r="27" spans="2:6">
      <c r="B27" s="474"/>
      <c r="C27" s="471"/>
      <c r="D27" s="83" t="s">
        <v>395</v>
      </c>
      <c r="E27" s="136"/>
      <c r="F27" s="76" t="s">
        <v>396</v>
      </c>
    </row>
    <row r="28" spans="2:6">
      <c r="B28" s="474"/>
      <c r="C28" s="471"/>
      <c r="D28" s="83" t="s">
        <v>397</v>
      </c>
      <c r="E28" s="136"/>
      <c r="F28" s="76" t="s">
        <v>287</v>
      </c>
    </row>
    <row r="29" spans="2:6" ht="25.5">
      <c r="B29" s="474"/>
      <c r="C29" s="471"/>
      <c r="D29" s="82" t="s">
        <v>398</v>
      </c>
      <c r="E29" s="136"/>
      <c r="F29" s="76" t="s">
        <v>399</v>
      </c>
    </row>
    <row r="30" spans="2:6">
      <c r="B30" s="475"/>
      <c r="C30" s="472"/>
      <c r="D30" s="83" t="s">
        <v>400</v>
      </c>
      <c r="E30" s="139"/>
      <c r="F30" s="76" t="s">
        <v>141</v>
      </c>
    </row>
    <row r="31" spans="2:6" ht="25.5">
      <c r="B31" s="137">
        <v>13</v>
      </c>
      <c r="C31" s="138" t="s">
        <v>401</v>
      </c>
      <c r="D31" s="82" t="s">
        <v>402</v>
      </c>
      <c r="E31" s="136"/>
      <c r="F31" s="76" t="s">
        <v>305</v>
      </c>
    </row>
    <row r="32" spans="2:6" ht="51">
      <c r="B32" s="130">
        <v>14</v>
      </c>
      <c r="C32" s="135" t="s">
        <v>403</v>
      </c>
      <c r="D32" s="83" t="s">
        <v>404</v>
      </c>
      <c r="E32" s="196" t="e">
        <f>1.49/E30*(E28*E31/12+E27*(E31/12)^2)*((E28*E31/12+E27*(E31/12)^2)/(E28+2*E31/12*SQRT(1+E27^2)))^0.67*(E29/100)^0.5</f>
        <v>#DIV/0!</v>
      </c>
      <c r="F32" s="76" t="s">
        <v>168</v>
      </c>
    </row>
    <row r="33" spans="2:6">
      <c r="B33" s="130">
        <v>15</v>
      </c>
      <c r="C33" s="135" t="s">
        <v>405</v>
      </c>
      <c r="D33" s="83" t="s">
        <v>406</v>
      </c>
      <c r="E33" s="196" t="e">
        <f>E32/(E31/12*(E28+E27*E31/12))</f>
        <v>#DIV/0!</v>
      </c>
      <c r="F33" s="76" t="s">
        <v>407</v>
      </c>
    </row>
    <row r="34" spans="2:6" ht="15.75">
      <c r="B34" s="130">
        <v>16</v>
      </c>
      <c r="C34" s="135" t="s">
        <v>408</v>
      </c>
      <c r="D34" s="83" t="s">
        <v>409</v>
      </c>
      <c r="E34" s="134"/>
      <c r="F34" s="76" t="s">
        <v>410</v>
      </c>
    </row>
    <row r="35" spans="2:6" ht="15.75">
      <c r="B35" s="130">
        <v>17</v>
      </c>
      <c r="C35" s="135" t="s">
        <v>411</v>
      </c>
      <c r="D35" s="83" t="s">
        <v>412</v>
      </c>
      <c r="E35" s="196">
        <f>E28*E34+E27*E34^2</f>
        <v>0</v>
      </c>
      <c r="F35" s="76" t="s">
        <v>348</v>
      </c>
    </row>
    <row r="36" spans="2:6" ht="15.75">
      <c r="B36" s="130">
        <v>18</v>
      </c>
      <c r="C36" s="135" t="s">
        <v>413</v>
      </c>
      <c r="D36" s="83" t="s">
        <v>414</v>
      </c>
      <c r="E36" s="197" t="e">
        <f>E34/(E29/100)</f>
        <v>#DIV/0!</v>
      </c>
      <c r="F36" s="76" t="s">
        <v>415</v>
      </c>
    </row>
    <row r="37" spans="2:6" ht="25.5">
      <c r="B37" s="130">
        <v>19</v>
      </c>
      <c r="C37" s="135" t="s">
        <v>416</v>
      </c>
      <c r="D37" s="83" t="s">
        <v>417</v>
      </c>
      <c r="E37" s="185" t="e">
        <f>FLOOR(E26/E36,1)</f>
        <v>#DIV/0!</v>
      </c>
      <c r="F37" s="76" t="s">
        <v>418</v>
      </c>
    </row>
    <row r="38" spans="2:6" ht="15.75">
      <c r="B38" s="130">
        <v>20</v>
      </c>
      <c r="C38" s="135" t="s">
        <v>419</v>
      </c>
      <c r="D38" s="83" t="s">
        <v>420</v>
      </c>
      <c r="E38" s="185" t="e">
        <f>+E37*E35*E36/2</f>
        <v>#DIV/0!</v>
      </c>
      <c r="F38" s="76" t="s">
        <v>339</v>
      </c>
    </row>
    <row r="39" spans="2:6" ht="15.75">
      <c r="B39" s="130">
        <v>21</v>
      </c>
      <c r="C39" s="135" t="s">
        <v>368</v>
      </c>
      <c r="D39" s="83" t="s">
        <v>421</v>
      </c>
      <c r="E39" s="136"/>
      <c r="F39" s="76" t="s">
        <v>287</v>
      </c>
    </row>
    <row r="40" spans="2:6" ht="25.5">
      <c r="B40" s="130">
        <v>22</v>
      </c>
      <c r="C40" s="135" t="s">
        <v>370</v>
      </c>
      <c r="D40" s="83" t="s">
        <v>422</v>
      </c>
      <c r="E40" s="134"/>
      <c r="F40" s="76" t="s">
        <v>141</v>
      </c>
    </row>
    <row r="41" spans="2:6" ht="15.75">
      <c r="B41" s="130">
        <v>23</v>
      </c>
      <c r="C41" s="135" t="s">
        <v>423</v>
      </c>
      <c r="D41" s="83" t="s">
        <v>424</v>
      </c>
      <c r="E41" s="185">
        <f>E26*E28*E39*E40</f>
        <v>0</v>
      </c>
      <c r="F41" s="76" t="s">
        <v>339</v>
      </c>
    </row>
    <row r="42" spans="2:6" ht="51">
      <c r="B42" s="130">
        <v>24</v>
      </c>
      <c r="C42" s="135" t="s">
        <v>425</v>
      </c>
      <c r="D42" s="83" t="s">
        <v>426</v>
      </c>
      <c r="E42" s="136"/>
      <c r="F42" s="76" t="s">
        <v>287</v>
      </c>
    </row>
    <row r="43" spans="2:6" ht="15.75">
      <c r="B43" s="130">
        <v>25</v>
      </c>
      <c r="C43" s="135" t="s">
        <v>427</v>
      </c>
      <c r="D43" s="83" t="s">
        <v>428</v>
      </c>
      <c r="E43" s="136"/>
      <c r="F43" s="76" t="s">
        <v>287</v>
      </c>
    </row>
    <row r="44" spans="2:6" ht="25.5">
      <c r="B44" s="130">
        <v>26</v>
      </c>
      <c r="C44" s="135" t="s">
        <v>374</v>
      </c>
      <c r="D44" s="83" t="s">
        <v>429</v>
      </c>
      <c r="E44" s="134"/>
      <c r="F44" s="76" t="s">
        <v>141</v>
      </c>
    </row>
    <row r="45" spans="2:6" ht="28.5">
      <c r="B45" s="130">
        <v>27</v>
      </c>
      <c r="C45" s="135" t="s">
        <v>430</v>
      </c>
      <c r="D45" s="83" t="s">
        <v>431</v>
      </c>
      <c r="E45" s="185">
        <f>+E26*E43*E42*E44</f>
        <v>0</v>
      </c>
      <c r="F45" s="76" t="s">
        <v>339</v>
      </c>
    </row>
    <row r="46" spans="2:6">
      <c r="B46"/>
      <c r="C46" s="86"/>
    </row>
    <row r="47" spans="2:6">
      <c r="B47" s="465" t="s">
        <v>380</v>
      </c>
      <c r="C47" s="465"/>
      <c r="D47" s="465"/>
      <c r="E47" s="465"/>
      <c r="F47" s="465"/>
    </row>
    <row r="48" spans="2:6" ht="15.75">
      <c r="B48" s="130">
        <v>28</v>
      </c>
      <c r="C48" s="135" t="s">
        <v>381</v>
      </c>
      <c r="D48" s="83" t="s">
        <v>350</v>
      </c>
      <c r="E48" s="185">
        <f>E13</f>
        <v>0</v>
      </c>
      <c r="F48" s="76" t="s">
        <v>339</v>
      </c>
    </row>
    <row r="49" spans="2:6" ht="15.75">
      <c r="B49" s="130">
        <v>29</v>
      </c>
      <c r="C49" s="135" t="s">
        <v>432</v>
      </c>
      <c r="D49" s="83" t="s">
        <v>420</v>
      </c>
      <c r="E49" s="185" t="e">
        <f>E38</f>
        <v>#DIV/0!</v>
      </c>
      <c r="F49" s="76" t="s">
        <v>339</v>
      </c>
    </row>
    <row r="50" spans="2:6" ht="15.75">
      <c r="B50" s="130">
        <v>30</v>
      </c>
      <c r="C50" s="135" t="s">
        <v>433</v>
      </c>
      <c r="D50" s="83" t="s">
        <v>424</v>
      </c>
      <c r="E50" s="185">
        <f>E41</f>
        <v>0</v>
      </c>
      <c r="F50" s="76" t="s">
        <v>339</v>
      </c>
    </row>
    <row r="51" spans="2:6" ht="15.75">
      <c r="B51" s="130">
        <v>31</v>
      </c>
      <c r="C51" s="135" t="s">
        <v>434</v>
      </c>
      <c r="D51" s="83" t="s">
        <v>431</v>
      </c>
      <c r="E51" s="185">
        <f>E45</f>
        <v>0</v>
      </c>
      <c r="F51" s="76" t="s">
        <v>339</v>
      </c>
    </row>
    <row r="52" spans="2:6" ht="15.75">
      <c r="B52" s="130">
        <v>32</v>
      </c>
      <c r="C52" s="135" t="s">
        <v>435</v>
      </c>
      <c r="D52" s="83" t="s">
        <v>383</v>
      </c>
      <c r="E52" s="185" t="e">
        <f>E49+E50+E51</f>
        <v>#DIV/0!</v>
      </c>
      <c r="F52" s="76" t="s">
        <v>339</v>
      </c>
    </row>
    <row r="53" spans="2:6" ht="15.75">
      <c r="B53" s="130">
        <v>33</v>
      </c>
      <c r="C53" s="135" t="s">
        <v>384</v>
      </c>
      <c r="D53" s="83" t="s">
        <v>385</v>
      </c>
      <c r="E53" s="185">
        <f>IF(ISERR(MIN(E48,E52))=TRUE,0,MIN(E48,E52))</f>
        <v>0</v>
      </c>
      <c r="F53" s="76" t="s">
        <v>339</v>
      </c>
    </row>
  </sheetData>
  <mergeCells count="7">
    <mergeCell ref="B47:F47"/>
    <mergeCell ref="B10:F10"/>
    <mergeCell ref="B25:F25"/>
    <mergeCell ref="B19:F19"/>
    <mergeCell ref="D17:F17"/>
    <mergeCell ref="C26:C30"/>
    <mergeCell ref="B26:B30"/>
  </mergeCells>
  <phoneticPr fontId="0" type="noConversion"/>
  <pageMargins left="0.75" right="0.75" top="1" bottom="1" header="0.5" footer="0.5"/>
  <pageSetup scale="72" orientation="portrait" r:id="rId1"/>
  <headerFooter alignWithMargins="0">
    <oddFooter>&amp;L&amp;8City of Chicago
Dept. of Water Management&amp;C&amp;8Permit Application
Drainage Swales Worksheet&amp;R&amp;8&amp;A
Page &amp;P</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18"/>
  <sheetViews>
    <sheetView zoomScaleNormal="100" workbookViewId="0">
      <selection activeCell="E12" sqref="E12"/>
    </sheetView>
  </sheetViews>
  <sheetFormatPr defaultRowHeight="12.75"/>
  <cols>
    <col min="1" max="1" width="15.140625" customWidth="1"/>
    <col min="2" max="2" width="6.140625" style="86" customWidth="1"/>
    <col min="3" max="3" width="37.7109375" customWidth="1"/>
    <col min="4" max="4" width="16" style="98" customWidth="1"/>
    <col min="5" max="5" width="14" customWidth="1"/>
    <col min="6" max="6" width="11.28515625" customWidth="1"/>
  </cols>
  <sheetData>
    <row r="1" spans="1:8" ht="18">
      <c r="A1" s="104" t="s">
        <v>2</v>
      </c>
      <c r="B1" s="97"/>
      <c r="C1" s="97"/>
      <c r="D1" s="97"/>
      <c r="E1" s="97"/>
      <c r="F1" s="97"/>
      <c r="G1" s="97"/>
      <c r="H1" s="97"/>
    </row>
    <row r="2" spans="1:8" ht="18">
      <c r="A2" s="104" t="s">
        <v>3</v>
      </c>
      <c r="B2" s="97"/>
      <c r="C2" s="97"/>
      <c r="D2" s="97"/>
      <c r="E2" s="97"/>
      <c r="F2" s="97"/>
      <c r="G2" s="97"/>
      <c r="H2" s="97"/>
    </row>
    <row r="3" spans="1:8" ht="12.75" customHeight="1">
      <c r="A3" s="104"/>
      <c r="B3" s="97"/>
      <c r="C3" s="97"/>
      <c r="D3" s="97"/>
      <c r="E3" s="97"/>
      <c r="F3" s="97"/>
      <c r="G3" s="97"/>
      <c r="H3" s="97"/>
    </row>
    <row r="4" spans="1:8" ht="12.75" customHeight="1">
      <c r="A4" t="s">
        <v>54</v>
      </c>
      <c r="B4" s="96" t="str">
        <f>IF(COVER!$D$15="","",COVER!$D$15)</f>
        <v/>
      </c>
      <c r="C4" s="118"/>
      <c r="D4" s="97"/>
      <c r="E4" s="97"/>
      <c r="F4" s="97"/>
      <c r="G4" s="97"/>
      <c r="H4" s="97"/>
    </row>
    <row r="5" spans="1:8" ht="12.75" customHeight="1">
      <c r="A5" t="s">
        <v>55</v>
      </c>
      <c r="B5" s="119" t="str">
        <f>IF(COVER!$D$18="","",COVER!$D$18)</f>
        <v/>
      </c>
      <c r="C5" s="120"/>
      <c r="D5" s="97"/>
      <c r="E5" s="97"/>
      <c r="F5" s="97"/>
      <c r="G5" s="97"/>
      <c r="H5" s="97"/>
    </row>
    <row r="6" spans="1:8" ht="12.75" customHeight="1">
      <c r="A6" t="s">
        <v>56</v>
      </c>
      <c r="B6" s="119" t="str">
        <f>IF(COVER!$F$21="","",COVER!$F$21)</f>
        <v/>
      </c>
      <c r="C6" s="120"/>
      <c r="D6" s="97"/>
      <c r="E6" s="97"/>
      <c r="F6" s="97"/>
      <c r="G6" s="97"/>
      <c r="H6" s="97"/>
    </row>
    <row r="8" spans="1:8" ht="15.75">
      <c r="B8" s="129" t="s">
        <v>436</v>
      </c>
    </row>
    <row r="9" spans="1:8">
      <c r="B9" s="15"/>
    </row>
    <row r="10" spans="1:8">
      <c r="C10" s="86"/>
      <c r="D10" s="140"/>
      <c r="E10" s="86"/>
      <c r="F10" s="86"/>
    </row>
    <row r="11" spans="1:8">
      <c r="B11" s="476" t="s">
        <v>437</v>
      </c>
      <c r="C11" s="476"/>
      <c r="D11" s="476"/>
      <c r="E11" s="476"/>
      <c r="F11" s="476"/>
    </row>
    <row r="12" spans="1:8" ht="20.25" customHeight="1">
      <c r="B12" s="480">
        <v>1</v>
      </c>
      <c r="C12" s="480" t="s">
        <v>438</v>
      </c>
      <c r="D12" s="82" t="s">
        <v>365</v>
      </c>
      <c r="E12" s="136"/>
      <c r="F12" s="78" t="s">
        <v>287</v>
      </c>
    </row>
    <row r="13" spans="1:8" ht="22.5" customHeight="1">
      <c r="B13" s="481"/>
      <c r="C13" s="481"/>
      <c r="D13" s="82" t="s">
        <v>366</v>
      </c>
      <c r="E13" s="136"/>
      <c r="F13" s="78" t="s">
        <v>287</v>
      </c>
    </row>
    <row r="14" spans="1:8" ht="35.25" customHeight="1">
      <c r="B14" s="180"/>
      <c r="C14" s="482"/>
      <c r="D14" s="82" t="s">
        <v>439</v>
      </c>
      <c r="E14" s="136"/>
      <c r="F14" s="78" t="s">
        <v>305</v>
      </c>
    </row>
    <row r="15" spans="1:8">
      <c r="C15" s="86"/>
      <c r="D15" s="140"/>
      <c r="E15" s="86"/>
      <c r="F15" s="86"/>
    </row>
    <row r="16" spans="1:8">
      <c r="B16" s="483" t="s">
        <v>440</v>
      </c>
      <c r="C16" s="483"/>
      <c r="D16" s="483"/>
      <c r="E16" s="483"/>
      <c r="F16" s="483"/>
    </row>
    <row r="17" spans="2:6">
      <c r="B17" s="477" t="s">
        <v>441</v>
      </c>
      <c r="C17" s="478"/>
      <c r="D17" s="478"/>
      <c r="E17" s="478"/>
      <c r="F17" s="479"/>
    </row>
    <row r="18" spans="2:6" ht="12.75" customHeight="1">
      <c r="B18" s="132">
        <v>2</v>
      </c>
      <c r="C18" s="135" t="s">
        <v>442</v>
      </c>
      <c r="D18" s="82" t="s">
        <v>443</v>
      </c>
      <c r="E18" s="197">
        <f>E12*E13</f>
        <v>0</v>
      </c>
      <c r="F18" s="78" t="s">
        <v>348</v>
      </c>
    </row>
  </sheetData>
  <mergeCells count="5">
    <mergeCell ref="B11:F11"/>
    <mergeCell ref="B17:F17"/>
    <mergeCell ref="B12:B13"/>
    <mergeCell ref="C12:C14"/>
    <mergeCell ref="B16:F16"/>
  </mergeCells>
  <phoneticPr fontId="0" type="noConversion"/>
  <pageMargins left="0.75" right="0.75" top="1" bottom="1" header="0.5" footer="0.5"/>
  <pageSetup scale="90" orientation="portrait" verticalDpi="1200" r:id="rId1"/>
  <headerFooter alignWithMargins="0">
    <oddFooter>&amp;L&amp;8City of Chicago
Dept. of Water Management&amp;C&amp;8Permit Application
Green Roof Worksheet&amp;R&amp;8&amp;A
Page &amp;P</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2"/>
  <sheetViews>
    <sheetView zoomScaleNormal="100" workbookViewId="0">
      <selection activeCell="E11" sqref="E11"/>
    </sheetView>
  </sheetViews>
  <sheetFormatPr defaultRowHeight="12.75"/>
  <cols>
    <col min="1" max="1" width="15.7109375" customWidth="1"/>
    <col min="2" max="2" width="6.140625" style="86" customWidth="1"/>
    <col min="3" max="3" width="37.7109375" customWidth="1"/>
    <col min="4" max="4" width="16" style="98" customWidth="1"/>
    <col min="5" max="5" width="14" customWidth="1"/>
    <col min="6" max="6" width="11.28515625" customWidth="1"/>
  </cols>
  <sheetData>
    <row r="1" spans="1:10" ht="18">
      <c r="A1" s="104" t="s">
        <v>2</v>
      </c>
      <c r="B1" s="97"/>
      <c r="C1" s="97"/>
      <c r="D1" s="97"/>
      <c r="E1" s="97"/>
      <c r="F1" s="97"/>
      <c r="G1" s="97"/>
      <c r="H1" s="97"/>
    </row>
    <row r="2" spans="1:10" ht="18">
      <c r="A2" s="104" t="s">
        <v>3</v>
      </c>
      <c r="B2" s="97"/>
      <c r="C2" s="97"/>
      <c r="D2" s="97"/>
      <c r="E2" s="97"/>
      <c r="F2" s="97"/>
      <c r="G2" s="97"/>
      <c r="H2" s="97"/>
    </row>
    <row r="3" spans="1:10" ht="12.75" customHeight="1">
      <c r="A3" s="104"/>
      <c r="B3" s="97"/>
      <c r="C3" s="97"/>
      <c r="D3" s="97"/>
      <c r="E3" s="97"/>
      <c r="F3" s="97"/>
      <c r="G3" s="97"/>
      <c r="H3" s="97"/>
    </row>
    <row r="4" spans="1:10" ht="12.75" customHeight="1">
      <c r="A4" t="s">
        <v>54</v>
      </c>
      <c r="B4" s="96" t="str">
        <f>IF(COVER!$D$15="","",COVER!$D$15)</f>
        <v/>
      </c>
      <c r="C4" s="118"/>
      <c r="D4" s="97"/>
      <c r="E4" s="97"/>
      <c r="F4" s="97"/>
      <c r="G4" s="97"/>
      <c r="H4" s="97"/>
    </row>
    <row r="5" spans="1:10" ht="12.75" customHeight="1">
      <c r="A5" t="s">
        <v>55</v>
      </c>
      <c r="B5" s="119" t="str">
        <f>IF(COVER!$D$18="","",COVER!$D$18)</f>
        <v/>
      </c>
      <c r="C5" s="120"/>
      <c r="D5" s="97"/>
      <c r="E5" s="97"/>
      <c r="F5" s="97"/>
      <c r="G5" s="97"/>
      <c r="H5" s="97"/>
    </row>
    <row r="6" spans="1:10" ht="12.75" customHeight="1">
      <c r="A6" t="s">
        <v>56</v>
      </c>
      <c r="B6" s="119" t="str">
        <f>IF(COVER!$F$21="","",COVER!$F$21)</f>
        <v/>
      </c>
      <c r="C6" s="120"/>
      <c r="D6" s="97"/>
      <c r="E6" s="97"/>
      <c r="F6" s="97"/>
      <c r="G6" s="97"/>
      <c r="H6" s="97"/>
    </row>
    <row r="7" spans="1:10">
      <c r="A7" s="29"/>
      <c r="B7" s="141"/>
      <c r="C7" s="29"/>
      <c r="D7" s="142"/>
      <c r="E7" s="29"/>
      <c r="F7" s="29"/>
      <c r="G7" s="29"/>
      <c r="H7" s="29"/>
      <c r="I7" s="29"/>
      <c r="J7" s="29"/>
    </row>
    <row r="8" spans="1:10" ht="15.75">
      <c r="A8" s="29"/>
      <c r="B8" s="143" t="s">
        <v>444</v>
      </c>
      <c r="C8" s="29"/>
      <c r="D8" s="142"/>
      <c r="E8" s="29"/>
      <c r="F8" s="29"/>
      <c r="G8" s="29"/>
      <c r="H8" s="29"/>
      <c r="I8" s="29"/>
      <c r="J8" s="29"/>
    </row>
    <row r="9" spans="1:10">
      <c r="A9" s="29"/>
      <c r="B9" s="141"/>
      <c r="C9" s="29"/>
      <c r="D9" s="142"/>
      <c r="E9" s="29"/>
      <c r="F9" s="29"/>
      <c r="G9" s="29"/>
      <c r="H9" s="29"/>
      <c r="I9" s="29"/>
      <c r="J9" s="29"/>
    </row>
    <row r="10" spans="1:10">
      <c r="A10" s="29"/>
      <c r="B10" s="485" t="s">
        <v>345</v>
      </c>
      <c r="C10" s="485"/>
      <c r="D10" s="485"/>
      <c r="E10" s="485"/>
      <c r="F10" s="485"/>
      <c r="G10" s="29"/>
      <c r="H10" s="29"/>
      <c r="I10" s="29"/>
      <c r="J10" s="29"/>
    </row>
    <row r="11" spans="1:10" ht="30" customHeight="1">
      <c r="A11" s="29"/>
      <c r="B11" s="130">
        <v>1</v>
      </c>
      <c r="C11" s="135" t="s">
        <v>445</v>
      </c>
      <c r="D11" s="83" t="s">
        <v>446</v>
      </c>
      <c r="E11" s="121"/>
      <c r="F11" s="76" t="s">
        <v>348</v>
      </c>
      <c r="G11" s="29"/>
      <c r="H11" s="29"/>
      <c r="I11" s="29"/>
      <c r="J11" s="29"/>
    </row>
    <row r="12" spans="1:10" ht="44.25" customHeight="1">
      <c r="A12" s="29"/>
      <c r="B12" s="132">
        <v>2</v>
      </c>
      <c r="C12" s="133" t="s">
        <v>447</v>
      </c>
      <c r="D12" s="83" t="s">
        <v>198</v>
      </c>
      <c r="E12" s="134"/>
      <c r="F12" s="76" t="s">
        <v>141</v>
      </c>
      <c r="G12" s="29"/>
      <c r="H12" s="29"/>
      <c r="I12" s="29"/>
      <c r="J12" s="29"/>
    </row>
    <row r="13" spans="1:10" ht="30" customHeight="1">
      <c r="A13" s="29"/>
      <c r="B13" s="144">
        <v>3</v>
      </c>
      <c r="C13" s="135" t="str">
        <f>IF('1.0 RATE CONTROL'!E45="Yes","Volume of upstream runoff from a 1/2-inch storm = C * At * (0.5) * 1/12","Volume of upstream runoff from a 1-inch storm = C * At * 1/12")</f>
        <v>Volume of upstream runoff from a 1-inch storm = C * At * 1/12</v>
      </c>
      <c r="D13" s="145" t="s">
        <v>448</v>
      </c>
      <c r="E13" s="185">
        <f>IF('1.0 RATE CONTROL'!E45="Yes",E12*E11*(0.5)*(1/12),E12*E11*1/12)</f>
        <v>0</v>
      </c>
      <c r="F13" s="146" t="s">
        <v>339</v>
      </c>
      <c r="G13" s="29"/>
      <c r="H13" s="29"/>
      <c r="I13" s="29"/>
      <c r="J13" s="29"/>
    </row>
    <row r="14" spans="1:10" ht="69" customHeight="1">
      <c r="A14" s="29"/>
      <c r="B14" s="147">
        <v>4</v>
      </c>
      <c r="C14" s="133" t="s">
        <v>449</v>
      </c>
      <c r="D14" s="487"/>
      <c r="E14" s="488"/>
      <c r="F14" s="489"/>
      <c r="G14" s="29"/>
      <c r="H14" s="29"/>
      <c r="I14" s="29"/>
      <c r="J14" s="29"/>
    </row>
    <row r="15" spans="1:10">
      <c r="A15" s="29"/>
      <c r="B15" s="29"/>
      <c r="C15" s="29"/>
      <c r="D15" s="142"/>
      <c r="E15" s="29"/>
      <c r="F15" s="29"/>
      <c r="G15" s="29"/>
      <c r="H15" s="29"/>
      <c r="I15" s="29"/>
      <c r="J15" s="29"/>
    </row>
    <row r="16" spans="1:10">
      <c r="A16" s="29"/>
      <c r="B16" s="485" t="s">
        <v>353</v>
      </c>
      <c r="C16" s="485"/>
      <c r="D16" s="485"/>
      <c r="E16" s="485"/>
      <c r="F16" s="485"/>
      <c r="G16" s="29"/>
      <c r="H16" s="29"/>
      <c r="I16" s="29"/>
      <c r="J16" s="29"/>
    </row>
    <row r="17" spans="1:10" ht="31.5" customHeight="1">
      <c r="A17" s="29"/>
      <c r="B17" s="147">
        <v>5</v>
      </c>
      <c r="C17" s="133" t="s">
        <v>450</v>
      </c>
      <c r="D17" s="145" t="s">
        <v>355</v>
      </c>
      <c r="E17" s="148"/>
      <c r="F17" s="146" t="s">
        <v>356</v>
      </c>
      <c r="G17" s="29"/>
      <c r="H17" s="29"/>
      <c r="I17" s="29"/>
      <c r="J17" s="29"/>
    </row>
    <row r="18" spans="1:10" ht="46.5" customHeight="1">
      <c r="A18" s="29"/>
      <c r="B18" s="147">
        <v>6</v>
      </c>
      <c r="C18" s="133" t="s">
        <v>451</v>
      </c>
      <c r="D18" s="145" t="s">
        <v>452</v>
      </c>
      <c r="E18" s="199">
        <f>E17/12*48</f>
        <v>0</v>
      </c>
      <c r="F18" s="146" t="s">
        <v>287</v>
      </c>
      <c r="G18" s="29"/>
      <c r="H18" s="29"/>
      <c r="I18" s="29"/>
      <c r="J18" s="29"/>
    </row>
    <row r="19" spans="1:10" ht="46.5" customHeight="1">
      <c r="A19" s="29"/>
      <c r="B19" s="132">
        <v>7</v>
      </c>
      <c r="C19" s="135" t="s">
        <v>453</v>
      </c>
      <c r="D19" s="82" t="s">
        <v>358</v>
      </c>
      <c r="E19" s="159"/>
      <c r="F19" s="78" t="s">
        <v>287</v>
      </c>
      <c r="G19" s="29"/>
      <c r="H19" s="29"/>
      <c r="I19" s="29"/>
      <c r="J19" s="29"/>
    </row>
    <row r="20" spans="1:10" ht="46.5" customHeight="1">
      <c r="A20" s="29"/>
      <c r="B20" s="132">
        <v>8</v>
      </c>
      <c r="C20" s="135" t="s">
        <v>359</v>
      </c>
      <c r="D20" s="82" t="s">
        <v>360</v>
      </c>
      <c r="E20" s="159"/>
      <c r="F20" s="78" t="s">
        <v>287</v>
      </c>
      <c r="G20" s="29"/>
      <c r="H20" s="29"/>
      <c r="I20" s="29"/>
      <c r="J20" s="29"/>
    </row>
    <row r="21" spans="1:10" ht="46.5" customHeight="1">
      <c r="A21" s="29"/>
      <c r="B21" s="132">
        <v>9</v>
      </c>
      <c r="C21" s="135" t="s">
        <v>361</v>
      </c>
      <c r="D21" s="82" t="s">
        <v>362</v>
      </c>
      <c r="E21" s="195">
        <f>E19-E20</f>
        <v>0</v>
      </c>
      <c r="F21" s="78" t="s">
        <v>287</v>
      </c>
      <c r="G21" s="29"/>
      <c r="H21" s="29"/>
      <c r="I21" s="29"/>
      <c r="J21" s="29"/>
    </row>
    <row r="22" spans="1:10" ht="16.5" customHeight="1">
      <c r="A22" s="29"/>
      <c r="B22" s="29"/>
      <c r="C22" s="141"/>
      <c r="D22" s="142"/>
      <c r="E22" s="29"/>
      <c r="F22" s="29"/>
      <c r="G22" s="29"/>
      <c r="H22" s="29"/>
      <c r="I22" s="29"/>
      <c r="J22" s="29"/>
    </row>
    <row r="23" spans="1:10">
      <c r="A23" s="29"/>
      <c r="B23" s="485" t="s">
        <v>363</v>
      </c>
      <c r="C23" s="485"/>
      <c r="D23" s="485"/>
      <c r="E23" s="485"/>
      <c r="F23" s="485"/>
      <c r="G23" s="29"/>
      <c r="H23" s="29"/>
      <c r="I23" s="29"/>
      <c r="J23" s="29"/>
    </row>
    <row r="24" spans="1:10" ht="16.5" customHeight="1">
      <c r="A24" s="29"/>
      <c r="B24" s="486">
        <v>10</v>
      </c>
      <c r="C24" s="484" t="s">
        <v>454</v>
      </c>
      <c r="D24" s="145" t="s">
        <v>365</v>
      </c>
      <c r="E24" s="136"/>
      <c r="F24" s="146" t="s">
        <v>287</v>
      </c>
      <c r="G24" s="29"/>
      <c r="H24" s="29"/>
      <c r="I24" s="29"/>
      <c r="J24" s="29"/>
    </row>
    <row r="25" spans="1:10">
      <c r="A25" s="29"/>
      <c r="B25" s="486"/>
      <c r="C25" s="484"/>
      <c r="D25" s="145" t="s">
        <v>366</v>
      </c>
      <c r="E25" s="136"/>
      <c r="F25" s="146" t="s">
        <v>287</v>
      </c>
      <c r="G25" s="29"/>
      <c r="H25" s="29"/>
      <c r="I25" s="29"/>
      <c r="J25" s="29"/>
    </row>
    <row r="26" spans="1:10" ht="15.75">
      <c r="A26" s="29"/>
      <c r="B26" s="486"/>
      <c r="C26" s="484"/>
      <c r="D26" s="145" t="s">
        <v>455</v>
      </c>
      <c r="E26" s="185">
        <f>+E24*E25</f>
        <v>0</v>
      </c>
      <c r="F26" s="146" t="s">
        <v>348</v>
      </c>
      <c r="G26" s="29"/>
      <c r="H26" s="29"/>
      <c r="I26" s="29"/>
      <c r="J26" s="29"/>
    </row>
    <row r="27" spans="1:10" ht="57">
      <c r="A27" s="29"/>
      <c r="B27" s="147">
        <v>11</v>
      </c>
      <c r="C27" s="133" t="s">
        <v>456</v>
      </c>
      <c r="D27" s="145" t="s">
        <v>457</v>
      </c>
      <c r="E27" s="136"/>
      <c r="F27" s="146" t="s">
        <v>287</v>
      </c>
      <c r="G27" s="29"/>
      <c r="H27" s="29"/>
      <c r="I27" s="29"/>
      <c r="J27" s="29"/>
    </row>
    <row r="28" spans="1:10" ht="30" customHeight="1">
      <c r="A28" s="29"/>
      <c r="B28" s="147">
        <v>12</v>
      </c>
      <c r="C28" s="133" t="s">
        <v>458</v>
      </c>
      <c r="D28" s="145" t="s">
        <v>459</v>
      </c>
      <c r="E28" s="136"/>
      <c r="F28" s="146" t="s">
        <v>287</v>
      </c>
      <c r="G28" s="29"/>
      <c r="H28" s="29"/>
      <c r="I28" s="29"/>
      <c r="J28" s="29"/>
    </row>
    <row r="29" spans="1:10" ht="30" customHeight="1">
      <c r="A29" s="29"/>
      <c r="B29" s="147">
        <v>13</v>
      </c>
      <c r="C29" s="133" t="s">
        <v>374</v>
      </c>
      <c r="D29" s="145" t="s">
        <v>460</v>
      </c>
      <c r="E29" s="134"/>
      <c r="F29" s="76" t="s">
        <v>141</v>
      </c>
      <c r="G29" s="29"/>
      <c r="H29" s="29"/>
      <c r="I29" s="29"/>
      <c r="J29" s="29"/>
    </row>
    <row r="30" spans="1:10" ht="30" customHeight="1">
      <c r="A30" s="29"/>
      <c r="B30" s="147">
        <v>14</v>
      </c>
      <c r="C30" s="133" t="s">
        <v>461</v>
      </c>
      <c r="D30" s="145" t="s">
        <v>462</v>
      </c>
      <c r="E30" s="185">
        <f>E26*E27+E26*E28*E29</f>
        <v>0</v>
      </c>
      <c r="F30" s="146" t="s">
        <v>339</v>
      </c>
      <c r="G30" s="29"/>
      <c r="H30" s="29"/>
      <c r="I30" s="29"/>
      <c r="J30" s="29"/>
    </row>
    <row r="31" spans="1:10">
      <c r="A31" s="29"/>
      <c r="B31" s="29"/>
      <c r="C31" s="141"/>
      <c r="D31" s="142"/>
      <c r="E31" s="29"/>
      <c r="F31" s="29"/>
      <c r="G31" s="29"/>
      <c r="H31" s="29"/>
      <c r="I31" s="29"/>
      <c r="J31" s="29"/>
    </row>
    <row r="32" spans="1:10">
      <c r="A32" s="29"/>
      <c r="B32" s="485" t="s">
        <v>380</v>
      </c>
      <c r="C32" s="485"/>
      <c r="D32" s="485"/>
      <c r="E32" s="485"/>
      <c r="F32" s="485"/>
      <c r="G32" s="29"/>
      <c r="H32" s="29"/>
      <c r="I32" s="29"/>
      <c r="J32" s="29"/>
    </row>
    <row r="33" spans="1:10" ht="15.75">
      <c r="A33" s="29"/>
      <c r="B33" s="147">
        <v>15</v>
      </c>
      <c r="C33" s="133" t="s">
        <v>463</v>
      </c>
      <c r="D33" s="145" t="s">
        <v>448</v>
      </c>
      <c r="E33" s="185">
        <f>E13</f>
        <v>0</v>
      </c>
      <c r="F33" s="146" t="s">
        <v>339</v>
      </c>
      <c r="G33" s="29"/>
      <c r="H33" s="29"/>
      <c r="I33" s="29"/>
      <c r="J33" s="29"/>
    </row>
    <row r="34" spans="1:10" ht="15.75">
      <c r="A34" s="29"/>
      <c r="B34" s="147">
        <v>16</v>
      </c>
      <c r="C34" s="133" t="s">
        <v>464</v>
      </c>
      <c r="D34" s="145" t="s">
        <v>383</v>
      </c>
      <c r="E34" s="185">
        <f>E30</f>
        <v>0</v>
      </c>
      <c r="F34" s="146" t="s">
        <v>339</v>
      </c>
      <c r="G34" s="29"/>
      <c r="H34" s="29"/>
      <c r="I34" s="29"/>
      <c r="J34" s="29"/>
    </row>
    <row r="35" spans="1:10" ht="15.75">
      <c r="A35" s="29"/>
      <c r="B35" s="147">
        <v>17</v>
      </c>
      <c r="C35" s="135" t="s">
        <v>384</v>
      </c>
      <c r="D35" s="83" t="s">
        <v>385</v>
      </c>
      <c r="E35" s="185">
        <f>MIN(E33:E34)</f>
        <v>0</v>
      </c>
      <c r="F35" s="146" t="s">
        <v>339</v>
      </c>
      <c r="G35" s="29"/>
      <c r="H35" s="29"/>
      <c r="I35" s="29"/>
      <c r="J35" s="29"/>
    </row>
    <row r="36" spans="1:10">
      <c r="A36" s="29"/>
      <c r="B36" s="141"/>
      <c r="C36" s="29"/>
      <c r="D36" s="142"/>
      <c r="E36" s="29"/>
      <c r="F36" s="29"/>
      <c r="G36" s="29"/>
      <c r="H36" s="29"/>
      <c r="I36" s="29"/>
      <c r="J36" s="29"/>
    </row>
    <row r="37" spans="1:10">
      <c r="A37" s="29"/>
      <c r="B37" s="141"/>
      <c r="C37" s="29"/>
      <c r="D37" s="142"/>
      <c r="E37" s="29"/>
      <c r="F37" s="29"/>
      <c r="G37" s="29"/>
      <c r="H37" s="29"/>
      <c r="I37" s="29"/>
      <c r="J37" s="29"/>
    </row>
    <row r="38" spans="1:10">
      <c r="A38" s="29"/>
      <c r="B38" s="141"/>
      <c r="C38" s="29"/>
      <c r="D38" s="142"/>
      <c r="E38" s="29"/>
      <c r="F38" s="29"/>
      <c r="G38" s="29"/>
      <c r="H38" s="29"/>
      <c r="I38" s="29"/>
      <c r="J38" s="29"/>
    </row>
    <row r="39" spans="1:10">
      <c r="A39" s="29"/>
      <c r="B39" s="141"/>
      <c r="C39" s="29"/>
      <c r="D39" s="142"/>
      <c r="E39" s="29"/>
      <c r="F39" s="29"/>
      <c r="G39" s="29"/>
      <c r="H39" s="29"/>
      <c r="I39" s="29"/>
      <c r="J39" s="29"/>
    </row>
    <row r="40" spans="1:10">
      <c r="A40" s="29"/>
      <c r="B40" s="141"/>
      <c r="C40" s="29"/>
      <c r="D40" s="142"/>
      <c r="E40" s="29"/>
      <c r="F40" s="29"/>
      <c r="G40" s="29"/>
      <c r="H40" s="29"/>
      <c r="I40" s="29"/>
      <c r="J40" s="29"/>
    </row>
    <row r="41" spans="1:10">
      <c r="A41" s="29"/>
      <c r="B41" s="141"/>
      <c r="C41" s="29"/>
      <c r="D41" s="142"/>
      <c r="E41" s="29"/>
      <c r="F41" s="29"/>
      <c r="G41" s="29"/>
      <c r="H41" s="29"/>
      <c r="I41" s="29"/>
      <c r="J41" s="29"/>
    </row>
    <row r="42" spans="1:10">
      <c r="A42" s="29"/>
      <c r="B42" s="141"/>
      <c r="C42" s="29"/>
      <c r="D42" s="142"/>
      <c r="E42" s="29"/>
      <c r="F42" s="29"/>
      <c r="G42" s="29"/>
      <c r="H42" s="29"/>
      <c r="I42" s="29"/>
      <c r="J42" s="29"/>
    </row>
  </sheetData>
  <mergeCells count="7">
    <mergeCell ref="C24:C26"/>
    <mergeCell ref="B32:F32"/>
    <mergeCell ref="B24:B26"/>
    <mergeCell ref="B10:F10"/>
    <mergeCell ref="B23:F23"/>
    <mergeCell ref="B16:F16"/>
    <mergeCell ref="D14:F14"/>
  </mergeCells>
  <phoneticPr fontId="0" type="noConversion"/>
  <pageMargins left="0.75" right="0.75" top="1" bottom="1" header="0.5" footer="0.5"/>
  <pageSetup scale="78" orientation="portrait" verticalDpi="300" r:id="rId1"/>
  <headerFooter alignWithMargins="0">
    <oddFooter>&amp;L&amp;8City of Chicago
Dept. of Water Management&amp;C&amp;8Permit Application
Permeable Pavement Worksheet&amp;R&amp;8&amp;A
Page &amp;P</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33"/>
  <sheetViews>
    <sheetView zoomScaleNormal="100" workbookViewId="0">
      <selection activeCell="D12" sqref="D12"/>
    </sheetView>
  </sheetViews>
  <sheetFormatPr defaultRowHeight="12.75"/>
  <cols>
    <col min="1" max="1" width="16.7109375" customWidth="1"/>
    <col min="2" max="2" width="6.140625" style="86" customWidth="1"/>
    <col min="3" max="3" width="41.42578125" customWidth="1"/>
    <col min="4" max="4" width="16" style="98" customWidth="1"/>
    <col min="5" max="5" width="14" customWidth="1"/>
    <col min="6" max="7" width="16" customWidth="1"/>
    <col min="8" max="8" width="12.7109375" customWidth="1"/>
    <col min="9" max="9" width="15.140625" customWidth="1"/>
  </cols>
  <sheetData>
    <row r="1" spans="1:9" ht="18">
      <c r="A1" s="104" t="s">
        <v>2</v>
      </c>
      <c r="B1" s="97"/>
      <c r="C1" s="97"/>
      <c r="D1" s="97"/>
      <c r="E1" s="97"/>
      <c r="F1" s="97"/>
      <c r="G1" s="97"/>
      <c r="H1" s="97"/>
    </row>
    <row r="2" spans="1:9" ht="18">
      <c r="A2" s="104" t="s">
        <v>3</v>
      </c>
      <c r="B2" s="97"/>
      <c r="C2" s="97"/>
      <c r="D2" s="97"/>
      <c r="E2" s="97"/>
      <c r="F2" s="97"/>
      <c r="G2" s="97"/>
      <c r="H2" s="97"/>
    </row>
    <row r="3" spans="1:9" ht="12.75" customHeight="1">
      <c r="A3" s="104"/>
      <c r="B3" s="97"/>
      <c r="C3" s="97"/>
      <c r="D3" s="97"/>
      <c r="E3" s="97"/>
      <c r="F3" s="97"/>
      <c r="G3" s="97"/>
      <c r="H3" s="97"/>
    </row>
    <row r="4" spans="1:9" ht="12.75" customHeight="1">
      <c r="A4" t="s">
        <v>54</v>
      </c>
      <c r="B4" s="96" t="str">
        <f>IF(COVER!$D$15="","",COVER!$D$15)</f>
        <v/>
      </c>
      <c r="C4" s="118"/>
      <c r="D4" s="97"/>
      <c r="E4" s="97"/>
      <c r="F4" s="97"/>
      <c r="G4" s="97"/>
      <c r="H4" s="97"/>
    </row>
    <row r="5" spans="1:9" ht="12.75" customHeight="1">
      <c r="A5" t="s">
        <v>55</v>
      </c>
      <c r="B5" s="119" t="str">
        <f>IF(COVER!$D$18="","",COVER!$D$18)</f>
        <v/>
      </c>
      <c r="C5" s="120"/>
      <c r="D5" s="97"/>
      <c r="E5" s="97"/>
      <c r="F5" s="97"/>
      <c r="G5" s="97"/>
      <c r="H5" s="97"/>
    </row>
    <row r="6" spans="1:9" ht="12.75" customHeight="1">
      <c r="A6" t="s">
        <v>56</v>
      </c>
      <c r="B6" s="119" t="str">
        <f>IF(COVER!$F$21="","",COVER!$F$21)</f>
        <v/>
      </c>
      <c r="C6" s="120"/>
      <c r="D6" s="97"/>
      <c r="E6" s="97"/>
      <c r="F6" s="97"/>
      <c r="G6" s="97"/>
      <c r="H6" s="97"/>
    </row>
    <row r="8" spans="1:9" ht="15.75">
      <c r="B8" s="129" t="s">
        <v>465</v>
      </c>
    </row>
    <row r="10" spans="1:9">
      <c r="B10" s="491" t="s">
        <v>466</v>
      </c>
      <c r="C10" s="491"/>
      <c r="D10" s="491"/>
      <c r="E10" s="491"/>
      <c r="F10" s="491"/>
      <c r="G10" s="491"/>
      <c r="H10" s="491"/>
      <c r="I10" s="491"/>
    </row>
    <row r="11" spans="1:9" ht="72.75" customHeight="1">
      <c r="B11" s="82">
        <v>1</v>
      </c>
      <c r="C11" s="82" t="s">
        <v>467</v>
      </c>
      <c r="D11" s="82" t="s">
        <v>468</v>
      </c>
      <c r="E11" s="82" t="s">
        <v>469</v>
      </c>
      <c r="F11" s="82" t="s">
        <v>470</v>
      </c>
      <c r="G11" s="82" t="s">
        <v>471</v>
      </c>
      <c r="H11" s="82" t="s">
        <v>472</v>
      </c>
      <c r="I11" s="82" t="s">
        <v>473</v>
      </c>
    </row>
    <row r="12" spans="1:9">
      <c r="B12" s="78"/>
      <c r="C12" s="149" t="s">
        <v>125</v>
      </c>
      <c r="D12" s="150"/>
      <c r="E12" s="151"/>
      <c r="F12" s="151"/>
      <c r="G12" s="150"/>
      <c r="H12" s="200">
        <f>+E12*50+G12*0.5</f>
        <v>0</v>
      </c>
      <c r="I12" s="183">
        <f>+D12-H12</f>
        <v>0</v>
      </c>
    </row>
    <row r="13" spans="1:9">
      <c r="B13" s="78"/>
      <c r="C13" s="149" t="s">
        <v>474</v>
      </c>
      <c r="D13" s="150"/>
      <c r="E13" s="151"/>
      <c r="F13" s="151"/>
      <c r="G13" s="150"/>
      <c r="H13" s="200">
        <f>+E13*50+G13*0.5</f>
        <v>0</v>
      </c>
      <c r="I13" s="183">
        <f>+D13-H13</f>
        <v>0</v>
      </c>
    </row>
    <row r="14" spans="1:9">
      <c r="B14" s="78"/>
      <c r="C14" s="149" t="s">
        <v>475</v>
      </c>
      <c r="D14" s="150"/>
      <c r="E14" s="151"/>
      <c r="F14" s="151"/>
      <c r="G14" s="150"/>
      <c r="H14" s="200">
        <f>+E14*50+G14*0.5</f>
        <v>0</v>
      </c>
      <c r="I14" s="183">
        <f>+D14-H14</f>
        <v>0</v>
      </c>
    </row>
    <row r="15" spans="1:9">
      <c r="C15" s="86"/>
      <c r="D15" s="140"/>
      <c r="E15" s="86"/>
      <c r="F15" s="86"/>
      <c r="G15" s="86"/>
    </row>
    <row r="16" spans="1:9" ht="12.75" customHeight="1">
      <c r="B16" s="483" t="s">
        <v>476</v>
      </c>
      <c r="C16" s="483"/>
      <c r="D16" s="483"/>
      <c r="E16" s="483"/>
      <c r="F16" s="483"/>
      <c r="G16" s="140"/>
    </row>
    <row r="17" spans="2:7" ht="41.25" customHeight="1">
      <c r="B17" s="490">
        <v>2</v>
      </c>
      <c r="C17" s="464" t="s">
        <v>477</v>
      </c>
      <c r="D17" s="82" t="s">
        <v>478</v>
      </c>
      <c r="E17" s="82" t="s">
        <v>479</v>
      </c>
      <c r="F17" s="82" t="s">
        <v>480</v>
      </c>
      <c r="G17" s="86"/>
    </row>
    <row r="18" spans="2:7">
      <c r="B18" s="490"/>
      <c r="C18" s="464"/>
      <c r="D18" s="152"/>
      <c r="E18" s="153"/>
      <c r="F18" s="153"/>
      <c r="G18" s="86"/>
    </row>
    <row r="19" spans="2:7">
      <c r="B19" s="490"/>
      <c r="C19" s="464"/>
      <c r="D19" s="152"/>
      <c r="E19" s="153"/>
      <c r="F19" s="153"/>
      <c r="G19" s="86"/>
    </row>
    <row r="20" spans="2:7">
      <c r="B20" s="490"/>
      <c r="C20" s="464"/>
      <c r="D20" s="152"/>
      <c r="E20" s="153"/>
      <c r="F20" s="153"/>
      <c r="G20" s="86"/>
    </row>
    <row r="21" spans="2:7">
      <c r="B21" s="490"/>
      <c r="C21" s="464"/>
      <c r="D21" s="152"/>
      <c r="E21" s="153"/>
      <c r="F21" s="153"/>
      <c r="G21" s="86"/>
    </row>
    <row r="22" spans="2:7">
      <c r="B22" s="490"/>
      <c r="C22" s="464"/>
      <c r="D22" s="152"/>
      <c r="E22" s="153"/>
      <c r="F22" s="153"/>
      <c r="G22" s="86"/>
    </row>
    <row r="23" spans="2:7">
      <c r="B23" s="490"/>
      <c r="C23" s="464"/>
      <c r="D23" s="152"/>
      <c r="E23" s="153"/>
      <c r="F23" s="153"/>
      <c r="G23" s="86"/>
    </row>
    <row r="24" spans="2:7">
      <c r="B24" s="490"/>
      <c r="C24" s="464"/>
      <c r="D24" s="152"/>
      <c r="E24" s="153"/>
      <c r="F24" s="153"/>
      <c r="G24" s="86"/>
    </row>
    <row r="25" spans="2:7" ht="38.25">
      <c r="B25" s="490">
        <v>3</v>
      </c>
      <c r="C25" s="464" t="s">
        <v>481</v>
      </c>
      <c r="D25" s="82" t="s">
        <v>478</v>
      </c>
      <c r="E25" s="82" t="s">
        <v>482</v>
      </c>
      <c r="F25" s="82" t="s">
        <v>483</v>
      </c>
      <c r="G25" s="86"/>
    </row>
    <row r="26" spans="2:7">
      <c r="B26" s="490"/>
      <c r="C26" s="464"/>
      <c r="D26" s="152"/>
      <c r="E26" s="153"/>
      <c r="F26" s="153"/>
      <c r="G26" s="86"/>
    </row>
    <row r="27" spans="2:7">
      <c r="B27" s="490"/>
      <c r="C27" s="464"/>
      <c r="D27" s="152"/>
      <c r="E27" s="153"/>
      <c r="F27" s="153"/>
      <c r="G27" s="86"/>
    </row>
    <row r="28" spans="2:7">
      <c r="B28" s="490"/>
      <c r="C28" s="464"/>
      <c r="D28" s="152"/>
      <c r="E28" s="153"/>
      <c r="F28" s="153"/>
      <c r="G28" s="86"/>
    </row>
    <row r="29" spans="2:7">
      <c r="B29" s="490"/>
      <c r="C29" s="464"/>
      <c r="D29" s="152"/>
      <c r="E29" s="153"/>
      <c r="F29" s="153"/>
      <c r="G29" s="86"/>
    </row>
    <row r="30" spans="2:7">
      <c r="B30" s="490"/>
      <c r="C30" s="464"/>
      <c r="D30" s="152"/>
      <c r="E30" s="153"/>
      <c r="F30" s="153"/>
      <c r="G30" s="86"/>
    </row>
    <row r="31" spans="2:7">
      <c r="B31" s="490"/>
      <c r="C31" s="464"/>
      <c r="D31" s="152"/>
      <c r="E31" s="153"/>
      <c r="F31" s="153"/>
      <c r="G31" s="86"/>
    </row>
    <row r="32" spans="2:7">
      <c r="B32" s="490"/>
      <c r="C32" s="464"/>
      <c r="D32" s="152"/>
      <c r="E32" s="153"/>
      <c r="F32" s="153"/>
      <c r="G32" s="86"/>
    </row>
    <row r="33" spans="2:7">
      <c r="B33" s="154"/>
      <c r="C33" s="155"/>
      <c r="D33" s="140"/>
      <c r="E33" s="86"/>
      <c r="F33" s="86"/>
      <c r="G33" s="86"/>
    </row>
  </sheetData>
  <mergeCells count="6">
    <mergeCell ref="B25:B32"/>
    <mergeCell ref="C25:C32"/>
    <mergeCell ref="B16:F16"/>
    <mergeCell ref="B10:I10"/>
    <mergeCell ref="C17:C24"/>
    <mergeCell ref="B17:B24"/>
  </mergeCells>
  <phoneticPr fontId="0" type="noConversion"/>
  <pageMargins left="0.75" right="0.75" top="1" bottom="1" header="0.5" footer="0.5"/>
  <pageSetup scale="59" orientation="portrait" r:id="rId1"/>
  <headerFooter alignWithMargins="0">
    <oddFooter>&amp;L&amp;8City of Chicago
Dept. of Water Management&amp;C&amp;8Permit Applicatiion
Stormwater Trees Worksheet&amp;R&amp;8&amp;A
Page &amp;P</odd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41"/>
  <sheetViews>
    <sheetView zoomScaleNormal="100" workbookViewId="0">
      <selection activeCell="E11" sqref="E11"/>
    </sheetView>
  </sheetViews>
  <sheetFormatPr defaultRowHeight="12.75"/>
  <cols>
    <col min="1" max="1" width="15.7109375" customWidth="1"/>
    <col min="2" max="2" width="6.140625" style="86" customWidth="1"/>
    <col min="3" max="3" width="37.7109375" customWidth="1"/>
    <col min="4" max="4" width="16" style="98" customWidth="1"/>
    <col min="5" max="5" width="14" customWidth="1"/>
    <col min="6" max="6" width="11.28515625" customWidth="1"/>
  </cols>
  <sheetData>
    <row r="1" spans="1:10" ht="18">
      <c r="A1" s="104" t="s">
        <v>2</v>
      </c>
      <c r="B1" s="97"/>
      <c r="C1" s="97"/>
      <c r="D1" s="97"/>
      <c r="E1" s="97"/>
      <c r="F1" s="97"/>
      <c r="G1" s="97"/>
      <c r="H1" s="97"/>
    </row>
    <row r="2" spans="1:10" ht="18">
      <c r="A2" s="104" t="s">
        <v>3</v>
      </c>
      <c r="B2" s="97"/>
      <c r="C2" s="97"/>
      <c r="D2" s="97"/>
      <c r="E2" s="97"/>
      <c r="F2" s="97"/>
      <c r="G2" s="97"/>
      <c r="H2" s="97"/>
    </row>
    <row r="3" spans="1:10" ht="12.75" customHeight="1">
      <c r="A3" s="104"/>
      <c r="B3" s="97"/>
      <c r="C3" s="97"/>
      <c r="D3" s="97"/>
      <c r="E3" s="97"/>
      <c r="F3" s="97"/>
      <c r="G3" s="97"/>
      <c r="H3" s="97"/>
    </row>
    <row r="4" spans="1:10" ht="12.75" customHeight="1">
      <c r="A4" t="s">
        <v>54</v>
      </c>
      <c r="B4" s="96" t="str">
        <f>IF(COVER!$D$15="","",COVER!$D$15)</f>
        <v/>
      </c>
      <c r="C4" s="118"/>
      <c r="D4" s="97"/>
      <c r="E4" s="97"/>
      <c r="F4" s="97"/>
      <c r="G4" s="97"/>
      <c r="H4" s="97"/>
    </row>
    <row r="5" spans="1:10" ht="12.75" customHeight="1">
      <c r="A5" t="s">
        <v>55</v>
      </c>
      <c r="B5" s="119" t="str">
        <f>IF(COVER!$D$18="","",COVER!$D$18)</f>
        <v/>
      </c>
      <c r="C5" s="120"/>
      <c r="D5" s="97"/>
      <c r="E5" s="97"/>
      <c r="F5" s="97"/>
      <c r="G5" s="97"/>
      <c r="H5" s="97"/>
    </row>
    <row r="6" spans="1:10" ht="12.75" customHeight="1">
      <c r="A6" t="s">
        <v>56</v>
      </c>
      <c r="B6" s="119" t="str">
        <f>IF(COVER!$F$21="","",COVER!$F$21)</f>
        <v/>
      </c>
      <c r="C6" s="120"/>
      <c r="D6" s="97"/>
      <c r="E6" s="97"/>
      <c r="F6" s="97"/>
      <c r="G6" s="97"/>
      <c r="H6" s="97"/>
    </row>
    <row r="7" spans="1:10">
      <c r="A7" s="29"/>
      <c r="B7" s="141"/>
      <c r="C7" s="29"/>
      <c r="D7" s="142"/>
      <c r="E7" s="29"/>
      <c r="F7" s="29"/>
      <c r="G7" s="29"/>
      <c r="H7" s="29"/>
      <c r="I7" s="29"/>
      <c r="J7" s="29"/>
    </row>
    <row r="8" spans="1:10" ht="15.75">
      <c r="A8" s="29"/>
      <c r="B8" s="143" t="s">
        <v>484</v>
      </c>
      <c r="C8" s="29"/>
      <c r="D8" s="142"/>
      <c r="E8" s="29"/>
      <c r="F8" s="29"/>
      <c r="G8" s="29"/>
      <c r="H8" s="29"/>
      <c r="I8" s="29"/>
      <c r="J8" s="29"/>
    </row>
    <row r="9" spans="1:10">
      <c r="A9" s="29"/>
      <c r="B9" s="141"/>
      <c r="C9" s="29"/>
      <c r="D9" s="142"/>
      <c r="E9" s="29"/>
      <c r="F9" s="29"/>
      <c r="G9" s="29"/>
      <c r="H9" s="29"/>
      <c r="I9" s="29"/>
      <c r="J9" s="29"/>
    </row>
    <row r="10" spans="1:10">
      <c r="A10" s="29"/>
      <c r="B10" s="485" t="s">
        <v>345</v>
      </c>
      <c r="C10" s="485"/>
      <c r="D10" s="485"/>
      <c r="E10" s="485"/>
      <c r="F10" s="485"/>
      <c r="G10" s="29"/>
      <c r="H10" s="29"/>
      <c r="I10" s="29"/>
      <c r="J10" s="29"/>
    </row>
    <row r="11" spans="1:10" ht="30" customHeight="1">
      <c r="A11" s="29"/>
      <c r="B11" s="130">
        <v>1</v>
      </c>
      <c r="C11" s="135" t="s">
        <v>485</v>
      </c>
      <c r="D11" s="83" t="s">
        <v>446</v>
      </c>
      <c r="E11" s="121"/>
      <c r="F11" s="76" t="s">
        <v>348</v>
      </c>
      <c r="G11" s="29"/>
      <c r="H11" s="29"/>
      <c r="I11" s="29"/>
      <c r="J11" s="29"/>
    </row>
    <row r="12" spans="1:10" ht="44.25" customHeight="1">
      <c r="A12" s="29"/>
      <c r="B12" s="132">
        <v>2</v>
      </c>
      <c r="C12" s="133" t="s">
        <v>486</v>
      </c>
      <c r="D12" s="83" t="s">
        <v>198</v>
      </c>
      <c r="E12" s="199">
        <v>0.95</v>
      </c>
      <c r="F12" s="76" t="s">
        <v>141</v>
      </c>
      <c r="G12" s="29"/>
      <c r="H12" s="29"/>
      <c r="I12" s="29"/>
      <c r="J12" s="29"/>
    </row>
    <row r="13" spans="1:10" ht="30" customHeight="1">
      <c r="A13" s="29"/>
      <c r="B13" s="144">
        <v>3</v>
      </c>
      <c r="C13" s="135" t="str">
        <f>IF('1.0 RATE CONTROL'!E45="Yes","Volume of upstream runoff from a 1/2-inch storm = C * At * (0.5) * 1/12","Volume of upstream runoff from a 1-inch storm = C * At * 1/12")</f>
        <v>Volume of upstream runoff from a 1-inch storm = C * At * 1/12</v>
      </c>
      <c r="D13" s="145" t="s">
        <v>448</v>
      </c>
      <c r="E13" s="185">
        <f>IF('1.0 RATE CONTROL'!E45="Yes",E12*E11*(0.5)*(1/12),E12*E11*1/12)</f>
        <v>0</v>
      </c>
      <c r="F13" s="146" t="s">
        <v>339</v>
      </c>
      <c r="G13" s="29"/>
      <c r="H13" s="29"/>
      <c r="I13" s="29"/>
      <c r="J13" s="29"/>
    </row>
    <row r="14" spans="1:10" ht="69" customHeight="1">
      <c r="A14" s="29"/>
      <c r="B14" s="147">
        <v>4</v>
      </c>
      <c r="C14" s="133" t="s">
        <v>487</v>
      </c>
      <c r="D14" s="487"/>
      <c r="E14" s="488"/>
      <c r="F14" s="489"/>
      <c r="G14" s="29"/>
      <c r="H14" s="29"/>
      <c r="I14" s="29"/>
      <c r="J14" s="29"/>
    </row>
    <row r="15" spans="1:10">
      <c r="A15" s="29"/>
      <c r="B15" s="29"/>
      <c r="C15" s="29"/>
      <c r="D15" s="142"/>
      <c r="E15" s="29"/>
      <c r="F15" s="29"/>
      <c r="G15" s="29"/>
      <c r="H15" s="29"/>
      <c r="I15" s="29"/>
      <c r="J15" s="29"/>
    </row>
    <row r="16" spans="1:10">
      <c r="A16" s="29"/>
      <c r="B16" s="485" t="s">
        <v>353</v>
      </c>
      <c r="C16" s="485"/>
      <c r="D16" s="485"/>
      <c r="E16" s="485"/>
      <c r="F16" s="485"/>
      <c r="G16" s="29"/>
      <c r="H16" s="29"/>
      <c r="I16" s="29"/>
      <c r="J16" s="29"/>
    </row>
    <row r="17" spans="1:10" ht="43.5" customHeight="1">
      <c r="A17" s="29"/>
      <c r="B17" s="147">
        <v>5</v>
      </c>
      <c r="C17" s="135" t="s">
        <v>354</v>
      </c>
      <c r="D17" s="145" t="s">
        <v>355</v>
      </c>
      <c r="E17" s="148"/>
      <c r="F17" s="146" t="s">
        <v>356</v>
      </c>
      <c r="G17" s="29"/>
      <c r="H17" s="29"/>
      <c r="I17" s="29"/>
      <c r="J17" s="29"/>
    </row>
    <row r="18" spans="1:10" ht="46.5" customHeight="1">
      <c r="A18" s="29"/>
      <c r="B18" s="147">
        <v>6</v>
      </c>
      <c r="C18" s="133" t="s">
        <v>488</v>
      </c>
      <c r="D18" s="145" t="s">
        <v>452</v>
      </c>
      <c r="E18" s="199">
        <f>E17/12*48</f>
        <v>0</v>
      </c>
      <c r="F18" s="146" t="s">
        <v>287</v>
      </c>
      <c r="G18" s="29"/>
      <c r="H18" s="29"/>
      <c r="I18" s="29"/>
      <c r="J18" s="29"/>
    </row>
    <row r="19" spans="1:10" ht="46.5" customHeight="1">
      <c r="A19" s="29"/>
      <c r="B19" s="132">
        <v>7</v>
      </c>
      <c r="C19" s="135" t="s">
        <v>357</v>
      </c>
      <c r="D19" s="82" t="s">
        <v>358</v>
      </c>
      <c r="E19" s="159"/>
      <c r="F19" s="78" t="s">
        <v>287</v>
      </c>
      <c r="G19" s="29"/>
      <c r="H19" s="29"/>
      <c r="I19" s="29"/>
      <c r="J19" s="29"/>
    </row>
    <row r="20" spans="1:10" ht="46.5" customHeight="1">
      <c r="A20" s="29"/>
      <c r="B20" s="132">
        <v>8</v>
      </c>
      <c r="C20" s="135" t="s">
        <v>359</v>
      </c>
      <c r="D20" s="82" t="s">
        <v>360</v>
      </c>
      <c r="E20" s="159"/>
      <c r="F20" s="78" t="s">
        <v>287</v>
      </c>
      <c r="G20" s="29"/>
      <c r="H20" s="29"/>
      <c r="I20" s="29"/>
      <c r="J20" s="29"/>
    </row>
    <row r="21" spans="1:10" ht="46.5" customHeight="1">
      <c r="A21" s="29"/>
      <c r="B21" s="132">
        <v>9</v>
      </c>
      <c r="C21" s="135" t="s">
        <v>361</v>
      </c>
      <c r="D21" s="82" t="s">
        <v>362</v>
      </c>
      <c r="E21" s="195">
        <f>E19-E20</f>
        <v>0</v>
      </c>
      <c r="F21" s="78" t="s">
        <v>287</v>
      </c>
      <c r="G21" s="29"/>
      <c r="H21" s="29"/>
      <c r="I21" s="29"/>
      <c r="J21" s="29"/>
    </row>
    <row r="22" spans="1:10" ht="16.5" customHeight="1">
      <c r="A22" s="29"/>
      <c r="B22" s="29"/>
      <c r="C22" s="141"/>
      <c r="D22" s="142"/>
      <c r="E22" s="29"/>
      <c r="F22" s="29"/>
      <c r="G22" s="29"/>
      <c r="H22" s="29"/>
      <c r="I22" s="29"/>
      <c r="J22" s="29"/>
    </row>
    <row r="23" spans="1:10">
      <c r="A23" s="29"/>
      <c r="B23" s="485" t="s">
        <v>363</v>
      </c>
      <c r="C23" s="485"/>
      <c r="D23" s="485"/>
      <c r="E23" s="485"/>
      <c r="F23" s="485"/>
      <c r="G23" s="29"/>
      <c r="H23" s="29"/>
      <c r="I23" s="29"/>
      <c r="J23" s="29"/>
    </row>
    <row r="24" spans="1:10" ht="16.5" customHeight="1">
      <c r="A24" s="29"/>
      <c r="B24" s="486">
        <v>10</v>
      </c>
      <c r="C24" s="484" t="s">
        <v>489</v>
      </c>
      <c r="D24" s="145" t="s">
        <v>365</v>
      </c>
      <c r="E24" s="136"/>
      <c r="F24" s="146" t="s">
        <v>287</v>
      </c>
      <c r="G24" s="29"/>
      <c r="H24" s="29"/>
      <c r="I24" s="29"/>
      <c r="J24" s="29"/>
    </row>
    <row r="25" spans="1:10">
      <c r="A25" s="29"/>
      <c r="B25" s="486"/>
      <c r="C25" s="484"/>
      <c r="D25" s="145" t="s">
        <v>366</v>
      </c>
      <c r="E25" s="136"/>
      <c r="F25" s="146" t="s">
        <v>287</v>
      </c>
      <c r="G25" s="29"/>
      <c r="H25" s="29"/>
      <c r="I25" s="29"/>
      <c r="J25" s="29"/>
    </row>
    <row r="26" spans="1:10" ht="15.75">
      <c r="A26" s="29"/>
      <c r="B26" s="486"/>
      <c r="C26" s="484"/>
      <c r="D26" s="145" t="s">
        <v>455</v>
      </c>
      <c r="E26" s="185">
        <f>+E24*E25</f>
        <v>0</v>
      </c>
      <c r="F26" s="146" t="s">
        <v>348</v>
      </c>
      <c r="G26" s="29"/>
      <c r="H26" s="29"/>
      <c r="I26" s="29"/>
      <c r="J26" s="29"/>
    </row>
    <row r="27" spans="1:10" ht="30" customHeight="1">
      <c r="A27" s="29"/>
      <c r="B27" s="147">
        <v>11</v>
      </c>
      <c r="C27" s="133" t="s">
        <v>490</v>
      </c>
      <c r="D27" s="145" t="s">
        <v>457</v>
      </c>
      <c r="E27" s="136"/>
      <c r="F27" s="146" t="s">
        <v>287</v>
      </c>
      <c r="G27" s="29"/>
      <c r="H27" s="29"/>
      <c r="I27" s="29"/>
      <c r="J27" s="29"/>
    </row>
    <row r="28" spans="1:10" ht="30" customHeight="1">
      <c r="A28" s="29"/>
      <c r="B28" s="147">
        <v>12</v>
      </c>
      <c r="C28" s="133" t="s">
        <v>374</v>
      </c>
      <c r="D28" s="145" t="s">
        <v>491</v>
      </c>
      <c r="E28" s="134"/>
      <c r="F28" s="76" t="s">
        <v>141</v>
      </c>
      <c r="G28" s="29"/>
      <c r="H28" s="29"/>
      <c r="I28" s="29"/>
      <c r="J28" s="29"/>
    </row>
    <row r="29" spans="1:10" ht="30" customHeight="1">
      <c r="A29" s="29"/>
      <c r="B29" s="147">
        <v>13</v>
      </c>
      <c r="C29" s="133" t="s">
        <v>492</v>
      </c>
      <c r="D29" s="145" t="s">
        <v>462</v>
      </c>
      <c r="E29" s="185">
        <f>E26*E27*E28</f>
        <v>0</v>
      </c>
      <c r="F29" s="146" t="s">
        <v>339</v>
      </c>
      <c r="G29" s="29"/>
      <c r="H29" s="29"/>
      <c r="I29" s="29"/>
      <c r="J29" s="29"/>
    </row>
    <row r="30" spans="1:10">
      <c r="A30" s="29"/>
      <c r="B30" s="29"/>
      <c r="C30" s="141"/>
      <c r="D30" s="142"/>
      <c r="E30" s="29"/>
      <c r="F30" s="29"/>
      <c r="G30" s="29"/>
      <c r="H30" s="29"/>
      <c r="I30" s="29"/>
      <c r="J30" s="29"/>
    </row>
    <row r="31" spans="1:10">
      <c r="A31" s="29"/>
      <c r="B31" s="485" t="s">
        <v>380</v>
      </c>
      <c r="C31" s="485"/>
      <c r="D31" s="485"/>
      <c r="E31" s="485"/>
      <c r="F31" s="485"/>
      <c r="G31" s="29"/>
      <c r="H31" s="29"/>
      <c r="I31" s="29"/>
      <c r="J31" s="29"/>
    </row>
    <row r="32" spans="1:10" ht="15.75">
      <c r="A32" s="29"/>
      <c r="B32" s="147">
        <v>14</v>
      </c>
      <c r="C32" s="133" t="s">
        <v>463</v>
      </c>
      <c r="D32" s="145" t="s">
        <v>448</v>
      </c>
      <c r="E32" s="185">
        <f>E13</f>
        <v>0</v>
      </c>
      <c r="F32" s="146" t="s">
        <v>339</v>
      </c>
      <c r="G32" s="29"/>
      <c r="H32" s="29"/>
      <c r="I32" s="29"/>
      <c r="J32" s="29"/>
    </row>
    <row r="33" spans="1:10" ht="15.75">
      <c r="A33" s="29"/>
      <c r="B33" s="147">
        <v>15</v>
      </c>
      <c r="C33" s="133" t="s">
        <v>464</v>
      </c>
      <c r="D33" s="145" t="s">
        <v>383</v>
      </c>
      <c r="E33" s="185">
        <f>E29</f>
        <v>0</v>
      </c>
      <c r="F33" s="146" t="s">
        <v>339</v>
      </c>
      <c r="G33" s="29"/>
      <c r="H33" s="29"/>
      <c r="I33" s="29"/>
      <c r="J33" s="29"/>
    </row>
    <row r="34" spans="1:10" ht="15.75">
      <c r="A34" s="29"/>
      <c r="B34" s="147">
        <v>16</v>
      </c>
      <c r="C34" s="135" t="s">
        <v>384</v>
      </c>
      <c r="D34" s="83" t="s">
        <v>385</v>
      </c>
      <c r="E34" s="185">
        <f>MIN(E32:E33)</f>
        <v>0</v>
      </c>
      <c r="F34" s="146" t="s">
        <v>339</v>
      </c>
      <c r="G34" s="29"/>
      <c r="H34" s="29"/>
      <c r="I34" s="29"/>
      <c r="J34" s="29"/>
    </row>
    <row r="35" spans="1:10">
      <c r="A35" s="29"/>
      <c r="B35" s="141"/>
      <c r="C35" s="29"/>
      <c r="D35" s="142"/>
      <c r="E35" s="29"/>
      <c r="F35" s="29"/>
      <c r="G35" s="29"/>
      <c r="H35" s="29"/>
      <c r="I35" s="29"/>
      <c r="J35" s="29"/>
    </row>
    <row r="36" spans="1:10">
      <c r="A36" s="29"/>
      <c r="B36" s="141"/>
      <c r="C36" s="29"/>
      <c r="D36" s="142"/>
      <c r="E36" s="29"/>
      <c r="F36" s="29"/>
      <c r="G36" s="29"/>
      <c r="H36" s="29"/>
      <c r="I36" s="29"/>
      <c r="J36" s="29"/>
    </row>
    <row r="37" spans="1:10">
      <c r="A37" s="29"/>
      <c r="B37" s="141"/>
      <c r="C37" s="29"/>
      <c r="D37" s="142"/>
      <c r="E37" s="29"/>
      <c r="F37" s="29"/>
      <c r="G37" s="29"/>
      <c r="H37" s="29"/>
      <c r="I37" s="29"/>
      <c r="J37" s="29"/>
    </row>
    <row r="38" spans="1:10">
      <c r="A38" s="29"/>
      <c r="B38" s="141"/>
      <c r="C38" s="29"/>
      <c r="D38" s="142"/>
      <c r="E38" s="29"/>
      <c r="F38" s="29"/>
      <c r="G38" s="29"/>
      <c r="H38" s="29"/>
      <c r="I38" s="29"/>
      <c r="J38" s="29"/>
    </row>
    <row r="39" spans="1:10">
      <c r="A39" s="29"/>
      <c r="B39" s="141"/>
      <c r="C39" s="29"/>
      <c r="D39" s="142"/>
      <c r="E39" s="29"/>
      <c r="F39" s="29"/>
      <c r="G39" s="29"/>
      <c r="H39" s="29"/>
      <c r="I39" s="29"/>
      <c r="J39" s="29"/>
    </row>
    <row r="40" spans="1:10">
      <c r="A40" s="29"/>
      <c r="B40" s="141"/>
      <c r="C40" s="29"/>
      <c r="D40" s="142"/>
      <c r="E40" s="29"/>
      <c r="F40" s="29"/>
      <c r="G40" s="29"/>
      <c r="H40" s="29"/>
      <c r="I40" s="29"/>
      <c r="J40" s="29"/>
    </row>
    <row r="41" spans="1:10">
      <c r="A41" s="29"/>
      <c r="B41" s="141"/>
      <c r="C41" s="29"/>
      <c r="D41" s="142"/>
      <c r="E41" s="29"/>
      <c r="F41" s="29"/>
      <c r="G41" s="29"/>
      <c r="H41" s="29"/>
      <c r="I41" s="29"/>
      <c r="J41" s="29"/>
    </row>
  </sheetData>
  <mergeCells count="7">
    <mergeCell ref="C24:C26"/>
    <mergeCell ref="B31:F31"/>
    <mergeCell ref="B24:B26"/>
    <mergeCell ref="B10:F10"/>
    <mergeCell ref="B23:F23"/>
    <mergeCell ref="B16:F16"/>
    <mergeCell ref="D14:F14"/>
  </mergeCells>
  <phoneticPr fontId="0" type="noConversion"/>
  <pageMargins left="0.75" right="0.75" top="1" bottom="1" header="0.5" footer="0.5"/>
  <pageSetup scale="84" orientation="portrait" verticalDpi="1200" r:id="rId1"/>
  <headerFooter alignWithMargins="0">
    <oddFooter>&amp;L&amp;8City of Chicago
Dept. of Water Management&amp;C&amp;8Permit Application
Permeable Pavement Worksheet&amp;R&amp;8&amp;A
Page &amp;P</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43"/>
  <sheetViews>
    <sheetView zoomScaleNormal="100" workbookViewId="0">
      <selection activeCell="E11" sqref="E11"/>
    </sheetView>
  </sheetViews>
  <sheetFormatPr defaultRowHeight="12.75"/>
  <cols>
    <col min="1" max="1" width="15.42578125" customWidth="1"/>
    <col min="2" max="2" width="6.140625" style="86" customWidth="1"/>
    <col min="3" max="3" width="39.28515625" customWidth="1"/>
    <col min="4" max="4" width="13.7109375" style="98" customWidth="1"/>
    <col min="5" max="5" width="14" customWidth="1"/>
    <col min="6" max="6" width="11.28515625" customWidth="1"/>
  </cols>
  <sheetData>
    <row r="1" spans="1:8" ht="18">
      <c r="A1" s="104" t="s">
        <v>2</v>
      </c>
      <c r="B1" s="97"/>
      <c r="C1" s="97"/>
      <c r="D1" s="97"/>
      <c r="E1" s="97"/>
      <c r="F1" s="97"/>
      <c r="G1" s="97"/>
      <c r="H1" s="97"/>
    </row>
    <row r="2" spans="1:8" ht="18">
      <c r="A2" s="104" t="s">
        <v>3</v>
      </c>
      <c r="B2" s="97"/>
      <c r="C2" s="97"/>
      <c r="D2" s="97"/>
      <c r="E2" s="97"/>
      <c r="F2" s="97"/>
      <c r="G2" s="97"/>
      <c r="H2" s="97"/>
    </row>
    <row r="3" spans="1:8" ht="12.75" customHeight="1">
      <c r="A3" s="104"/>
      <c r="B3" s="97"/>
      <c r="C3" s="97"/>
      <c r="D3" s="97"/>
      <c r="E3" s="97"/>
      <c r="F3" s="97"/>
      <c r="G3" s="97"/>
      <c r="H3" s="97"/>
    </row>
    <row r="4" spans="1:8" ht="12.75" customHeight="1">
      <c r="A4" t="s">
        <v>54</v>
      </c>
      <c r="B4" s="96" t="str">
        <f>IF(COVER!$D$15="","",COVER!$D$15)</f>
        <v/>
      </c>
      <c r="C4" s="118"/>
      <c r="D4" s="97"/>
      <c r="E4" s="97"/>
      <c r="F4" s="97"/>
      <c r="G4" s="97"/>
      <c r="H4" s="97"/>
    </row>
    <row r="5" spans="1:8" ht="12.75" customHeight="1">
      <c r="A5" t="s">
        <v>55</v>
      </c>
      <c r="B5" s="119" t="str">
        <f>IF(COVER!$D$18="","",COVER!$D$18)</f>
        <v/>
      </c>
      <c r="C5" s="120"/>
      <c r="D5" s="97"/>
      <c r="E5" s="97"/>
      <c r="F5" s="97"/>
      <c r="G5" s="97"/>
      <c r="H5" s="97"/>
    </row>
    <row r="6" spans="1:8" ht="12.75" customHeight="1">
      <c r="A6" t="s">
        <v>56</v>
      </c>
      <c r="B6" s="119" t="str">
        <f>IF(COVER!$F$21="","",COVER!$F$21)</f>
        <v/>
      </c>
      <c r="C6" s="120"/>
      <c r="D6" s="97"/>
      <c r="E6" s="97"/>
      <c r="F6" s="97"/>
      <c r="G6" s="97"/>
      <c r="H6" s="97"/>
    </row>
    <row r="8" spans="1:8" ht="15.75">
      <c r="B8" s="129" t="s">
        <v>493</v>
      </c>
    </row>
    <row r="9" spans="1:8">
      <c r="A9" s="86"/>
      <c r="C9" s="86"/>
      <c r="D9" s="140"/>
      <c r="E9" s="86"/>
      <c r="F9" s="86"/>
      <c r="G9" s="86"/>
      <c r="H9" s="86"/>
    </row>
    <row r="10" spans="1:8">
      <c r="A10" s="86"/>
      <c r="B10" s="476" t="s">
        <v>345</v>
      </c>
      <c r="C10" s="476"/>
      <c r="D10" s="476"/>
      <c r="E10" s="476"/>
      <c r="F10" s="476"/>
      <c r="G10" s="86"/>
      <c r="H10" s="86"/>
    </row>
    <row r="11" spans="1:8" ht="15.75">
      <c r="A11" s="86"/>
      <c r="B11" s="132">
        <v>1</v>
      </c>
      <c r="C11" s="131" t="s">
        <v>346</v>
      </c>
      <c r="D11" s="83" t="s">
        <v>347</v>
      </c>
      <c r="E11" s="156"/>
      <c r="F11" s="133" t="s">
        <v>348</v>
      </c>
      <c r="G11" s="86"/>
      <c r="H11" s="86"/>
    </row>
    <row r="12" spans="1:8" ht="28.5" customHeight="1">
      <c r="A12" s="86"/>
      <c r="B12" s="132">
        <v>2</v>
      </c>
      <c r="C12" s="133" t="s">
        <v>349</v>
      </c>
      <c r="D12" s="83" t="s">
        <v>198</v>
      </c>
      <c r="E12" s="158"/>
      <c r="F12" s="157" t="s">
        <v>141</v>
      </c>
      <c r="G12" s="86"/>
      <c r="H12" s="86"/>
    </row>
    <row r="13" spans="1:8" ht="32.25" customHeight="1">
      <c r="A13" s="86"/>
      <c r="B13" s="132">
        <v>3</v>
      </c>
      <c r="C13" s="135" t="str">
        <f>IF('1.0 RATE CONTROL'!E45="Yes","Volume of upstream runoff from a 1/2-inch storm = C * At * (0.5) * 1/12","Volume of upstream runoff from a 1-inch storm = C * At * 1/12")</f>
        <v>Volume of upstream runoff from a 1-inch storm = C * At * 1/12</v>
      </c>
      <c r="D13" s="83" t="s">
        <v>350</v>
      </c>
      <c r="E13" s="194">
        <f>IF('1.0 RATE CONTROL'!E45="Yes",E12*E11*(0.5)*(1/12),E12*E11*1/12)</f>
        <v>0</v>
      </c>
      <c r="F13" s="157" t="s">
        <v>339</v>
      </c>
      <c r="G13" s="86"/>
      <c r="H13" s="86"/>
    </row>
    <row r="14" spans="1:8" ht="69" customHeight="1">
      <c r="A14" s="86"/>
      <c r="B14" s="132">
        <v>4</v>
      </c>
      <c r="C14" s="135" t="s">
        <v>494</v>
      </c>
      <c r="D14" s="467"/>
      <c r="E14" s="468"/>
      <c r="F14" s="469"/>
      <c r="G14" s="86"/>
      <c r="H14" s="86"/>
    </row>
    <row r="15" spans="1:8">
      <c r="A15" s="86"/>
      <c r="C15" s="86"/>
      <c r="D15" s="140"/>
      <c r="E15" s="86"/>
      <c r="F15" s="86"/>
      <c r="G15" s="86"/>
      <c r="H15" s="86"/>
    </row>
    <row r="16" spans="1:8">
      <c r="A16" s="86"/>
      <c r="B16" s="476" t="s">
        <v>353</v>
      </c>
      <c r="C16" s="476"/>
      <c r="D16" s="476"/>
      <c r="E16" s="476"/>
      <c r="F16" s="476"/>
      <c r="G16" s="86"/>
      <c r="H16" s="86"/>
    </row>
    <row r="17" spans="1:8" ht="43.5" customHeight="1">
      <c r="A17" s="86"/>
      <c r="B17" s="132">
        <v>5</v>
      </c>
      <c r="C17" s="135" t="s">
        <v>495</v>
      </c>
      <c r="D17" s="82" t="s">
        <v>355</v>
      </c>
      <c r="E17" s="159"/>
      <c r="F17" s="78" t="s">
        <v>356</v>
      </c>
      <c r="G17" s="86"/>
      <c r="H17" s="86"/>
    </row>
    <row r="18" spans="1:8" ht="43.5" customHeight="1">
      <c r="A18" s="86"/>
      <c r="B18" s="132">
        <v>6</v>
      </c>
      <c r="C18" s="135" t="s">
        <v>357</v>
      </c>
      <c r="D18" s="82" t="s">
        <v>358</v>
      </c>
      <c r="E18" s="159"/>
      <c r="F18" s="78" t="s">
        <v>287</v>
      </c>
      <c r="G18" s="86"/>
      <c r="H18" s="86"/>
    </row>
    <row r="19" spans="1:8" ht="43.5" customHeight="1">
      <c r="A19" s="86"/>
      <c r="B19" s="132">
        <v>7</v>
      </c>
      <c r="C19" s="135" t="s">
        <v>359</v>
      </c>
      <c r="D19" s="82" t="s">
        <v>360</v>
      </c>
      <c r="E19" s="159"/>
      <c r="F19" s="78" t="s">
        <v>287</v>
      </c>
      <c r="G19" s="86"/>
      <c r="H19" s="86"/>
    </row>
    <row r="20" spans="1:8" ht="38.25">
      <c r="A20" s="86"/>
      <c r="B20" s="132">
        <v>8</v>
      </c>
      <c r="C20" s="135" t="s">
        <v>361</v>
      </c>
      <c r="D20" s="82" t="s">
        <v>362</v>
      </c>
      <c r="E20" s="195">
        <f>E18-E19</f>
        <v>0</v>
      </c>
      <c r="F20" s="78" t="s">
        <v>287</v>
      </c>
      <c r="G20" s="86"/>
      <c r="H20" s="86"/>
    </row>
    <row r="21" spans="1:8" ht="16.5" customHeight="1">
      <c r="A21" s="86"/>
      <c r="C21" s="86"/>
      <c r="D21" s="140"/>
      <c r="E21" s="86"/>
      <c r="F21" s="86"/>
      <c r="G21" s="86"/>
      <c r="H21" s="86"/>
    </row>
    <row r="22" spans="1:8">
      <c r="A22" s="86"/>
      <c r="B22" s="476" t="s">
        <v>363</v>
      </c>
      <c r="C22" s="476"/>
      <c r="D22" s="476"/>
      <c r="E22" s="476"/>
      <c r="F22" s="476"/>
      <c r="G22" s="86"/>
      <c r="H22" s="86"/>
    </row>
    <row r="23" spans="1:8" ht="16.5" customHeight="1">
      <c r="A23" s="86"/>
      <c r="B23" s="466">
        <v>9</v>
      </c>
      <c r="C23" s="464" t="s">
        <v>496</v>
      </c>
      <c r="D23" s="83" t="s">
        <v>365</v>
      </c>
      <c r="E23" s="160"/>
      <c r="F23" s="76" t="s">
        <v>287</v>
      </c>
      <c r="G23" s="86"/>
      <c r="H23" s="86"/>
    </row>
    <row r="24" spans="1:8" ht="16.5" customHeight="1">
      <c r="A24" s="86"/>
      <c r="B24" s="466"/>
      <c r="C24" s="464"/>
      <c r="D24" s="83" t="s">
        <v>366</v>
      </c>
      <c r="E24" s="160"/>
      <c r="F24" s="76" t="s">
        <v>287</v>
      </c>
      <c r="G24" s="86"/>
      <c r="H24" s="86"/>
    </row>
    <row r="25" spans="1:8" ht="15.75">
      <c r="A25" s="86"/>
      <c r="B25" s="466"/>
      <c r="C25" s="464"/>
      <c r="D25" s="83" t="s">
        <v>367</v>
      </c>
      <c r="E25" s="195">
        <f>+E23*E24</f>
        <v>0</v>
      </c>
      <c r="F25" s="76" t="s">
        <v>348</v>
      </c>
      <c r="G25" s="86"/>
      <c r="H25" s="86"/>
    </row>
    <row r="26" spans="1:8" ht="15.75">
      <c r="A26" s="86"/>
      <c r="B26" s="130">
        <v>10</v>
      </c>
      <c r="C26" s="135" t="s">
        <v>497</v>
      </c>
      <c r="D26" s="83" t="s">
        <v>369</v>
      </c>
      <c r="E26" s="160"/>
      <c r="F26" s="76"/>
      <c r="G26" s="86"/>
      <c r="H26" s="86"/>
    </row>
    <row r="27" spans="1:8" ht="15.75">
      <c r="A27" s="86"/>
      <c r="B27" s="130">
        <v>11</v>
      </c>
      <c r="C27" s="135" t="s">
        <v>368</v>
      </c>
      <c r="D27" s="83" t="s">
        <v>373</v>
      </c>
      <c r="E27" s="160"/>
      <c r="F27" s="76" t="s">
        <v>287</v>
      </c>
      <c r="G27" s="86"/>
      <c r="H27" s="86"/>
    </row>
    <row r="28" spans="1:8" ht="25.5">
      <c r="A28" s="86"/>
      <c r="B28" s="130">
        <v>12</v>
      </c>
      <c r="C28" s="135" t="s">
        <v>370</v>
      </c>
      <c r="D28" s="83" t="s">
        <v>375</v>
      </c>
      <c r="E28" s="160"/>
      <c r="F28" s="76" t="s">
        <v>141</v>
      </c>
      <c r="G28" s="86"/>
      <c r="H28" s="86"/>
    </row>
    <row r="29" spans="1:8" ht="31.5" customHeight="1">
      <c r="A29" s="86"/>
      <c r="B29" s="130">
        <v>13</v>
      </c>
      <c r="C29" s="135" t="s">
        <v>372</v>
      </c>
      <c r="D29" s="83" t="s">
        <v>498</v>
      </c>
      <c r="E29" s="160"/>
      <c r="F29" s="76" t="s">
        <v>287</v>
      </c>
      <c r="G29" s="86"/>
      <c r="H29" s="86"/>
    </row>
    <row r="30" spans="1:8" ht="34.5" customHeight="1">
      <c r="A30" s="86"/>
      <c r="B30" s="130">
        <v>14</v>
      </c>
      <c r="C30" s="135" t="s">
        <v>374</v>
      </c>
      <c r="D30" s="83" t="s">
        <v>499</v>
      </c>
      <c r="E30" s="160"/>
      <c r="F30" s="76" t="s">
        <v>141</v>
      </c>
      <c r="G30" s="86"/>
      <c r="H30" s="86"/>
    </row>
    <row r="31" spans="1:8" ht="31.5" customHeight="1">
      <c r="A31" s="86"/>
      <c r="B31" s="130">
        <v>15</v>
      </c>
      <c r="C31" s="135" t="s">
        <v>500</v>
      </c>
      <c r="D31" s="83" t="s">
        <v>377</v>
      </c>
      <c r="E31" s="194">
        <f>E25*E26</f>
        <v>0</v>
      </c>
      <c r="F31" s="76" t="s">
        <v>339</v>
      </c>
      <c r="G31" s="86"/>
      <c r="H31" s="86"/>
    </row>
    <row r="32" spans="1:8" ht="33.75" customHeight="1">
      <c r="A32" s="86"/>
      <c r="B32" s="130">
        <v>16</v>
      </c>
      <c r="C32" s="135" t="s">
        <v>501</v>
      </c>
      <c r="D32" s="83" t="s">
        <v>379</v>
      </c>
      <c r="E32" s="194">
        <f>E25*(E27*E28+E29*E30)</f>
        <v>0</v>
      </c>
      <c r="F32" s="76" t="s">
        <v>339</v>
      </c>
      <c r="G32" s="86"/>
      <c r="H32" s="86"/>
    </row>
    <row r="33" spans="1:8">
      <c r="A33" s="86"/>
      <c r="C33" s="86"/>
      <c r="D33" s="140"/>
      <c r="E33" s="86"/>
      <c r="F33" s="86"/>
      <c r="G33" s="86"/>
      <c r="H33" s="86"/>
    </row>
    <row r="34" spans="1:8">
      <c r="A34" s="86"/>
      <c r="B34" s="476" t="s">
        <v>380</v>
      </c>
      <c r="C34" s="476"/>
      <c r="D34" s="476"/>
      <c r="E34" s="476"/>
      <c r="F34" s="476"/>
      <c r="G34" s="86"/>
      <c r="H34" s="86"/>
    </row>
    <row r="35" spans="1:8" ht="15.75">
      <c r="A35" s="86"/>
      <c r="B35" s="130">
        <v>17</v>
      </c>
      <c r="C35" s="135" t="s">
        <v>381</v>
      </c>
      <c r="D35" s="82" t="s">
        <v>350</v>
      </c>
      <c r="E35" s="194">
        <f>E13</f>
        <v>0</v>
      </c>
      <c r="F35" s="76" t="s">
        <v>339</v>
      </c>
      <c r="G35" s="86"/>
      <c r="H35" s="86"/>
    </row>
    <row r="36" spans="1:8" ht="16.5" customHeight="1">
      <c r="A36" s="86"/>
      <c r="B36" s="130">
        <v>18</v>
      </c>
      <c r="C36" s="135" t="s">
        <v>382</v>
      </c>
      <c r="D36" s="83" t="s">
        <v>383</v>
      </c>
      <c r="E36" s="194">
        <f>E31+E32</f>
        <v>0</v>
      </c>
      <c r="F36" s="76" t="s">
        <v>339</v>
      </c>
      <c r="G36" s="86"/>
      <c r="H36" s="86"/>
    </row>
    <row r="37" spans="1:8" ht="15.75">
      <c r="A37" s="86"/>
      <c r="B37" s="130">
        <v>19</v>
      </c>
      <c r="C37" s="135" t="s">
        <v>384</v>
      </c>
      <c r="D37" s="83" t="s">
        <v>385</v>
      </c>
      <c r="E37" s="194">
        <f>MIN(E35:E36)</f>
        <v>0</v>
      </c>
      <c r="F37" s="76" t="s">
        <v>339</v>
      </c>
      <c r="G37" s="86"/>
      <c r="H37" s="86"/>
    </row>
    <row r="38" spans="1:8">
      <c r="A38" s="86"/>
      <c r="C38" s="86"/>
      <c r="D38" s="140"/>
      <c r="E38" s="86"/>
      <c r="F38" s="86"/>
      <c r="G38" s="86"/>
      <c r="H38" s="86"/>
    </row>
    <row r="39" spans="1:8">
      <c r="A39" s="86"/>
      <c r="C39" s="86"/>
      <c r="D39" s="140"/>
      <c r="E39" s="86"/>
      <c r="F39" s="86"/>
      <c r="G39" s="86"/>
      <c r="H39" s="86"/>
    </row>
    <row r="40" spans="1:8">
      <c r="A40" s="86"/>
      <c r="C40" s="86"/>
      <c r="D40" s="140"/>
      <c r="E40" s="86"/>
      <c r="F40" s="86"/>
      <c r="G40" s="86"/>
      <c r="H40" s="86"/>
    </row>
    <row r="41" spans="1:8">
      <c r="A41" s="86"/>
      <c r="C41" s="86"/>
      <c r="D41" s="140"/>
      <c r="E41" s="86"/>
      <c r="F41" s="86"/>
      <c r="G41" s="86"/>
      <c r="H41" s="86"/>
    </row>
    <row r="42" spans="1:8">
      <c r="A42" s="86"/>
      <c r="C42" s="86"/>
      <c r="D42" s="140"/>
      <c r="E42" s="86"/>
      <c r="F42" s="86"/>
      <c r="G42" s="86"/>
      <c r="H42" s="86"/>
    </row>
    <row r="43" spans="1:8">
      <c r="A43" s="86"/>
      <c r="C43" s="86"/>
      <c r="D43" s="140"/>
      <c r="E43" s="86"/>
      <c r="F43" s="86"/>
      <c r="G43" s="86"/>
      <c r="H43" s="86"/>
    </row>
  </sheetData>
  <mergeCells count="7">
    <mergeCell ref="C23:C25"/>
    <mergeCell ref="B34:F34"/>
    <mergeCell ref="B23:B25"/>
    <mergeCell ref="B10:F10"/>
    <mergeCell ref="B22:F22"/>
    <mergeCell ref="B16:F16"/>
    <mergeCell ref="D14:F14"/>
  </mergeCells>
  <phoneticPr fontId="0" type="noConversion"/>
  <pageMargins left="0.75" right="0.75" top="1" bottom="1" header="0.5" footer="0.5"/>
  <pageSetup scale="81" orientation="portrait" verticalDpi="300" r:id="rId1"/>
  <headerFooter alignWithMargins="0">
    <oddFooter>&amp;L&amp;8City of Chicago
Dept. of Water Management&amp;C&amp;8Permit Application
Roof Runoff Worksheet - Planter Boxes&amp;R&amp;8&amp;A
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H40"/>
  <sheetViews>
    <sheetView zoomScaleNormal="100" workbookViewId="0">
      <selection activeCell="E11" sqref="E11"/>
    </sheetView>
  </sheetViews>
  <sheetFormatPr defaultRowHeight="12.75"/>
  <cols>
    <col min="1" max="1" width="15.42578125" customWidth="1"/>
    <col min="2" max="2" width="6.140625" style="86" customWidth="1"/>
    <col min="3" max="3" width="37.7109375" customWidth="1"/>
    <col min="4" max="4" width="24.140625" style="98" customWidth="1"/>
    <col min="5" max="5" width="14" customWidth="1"/>
    <col min="6" max="6" width="11.28515625" customWidth="1"/>
  </cols>
  <sheetData>
    <row r="1" spans="1:8" ht="18">
      <c r="A1" s="104" t="s">
        <v>2</v>
      </c>
      <c r="B1" s="97"/>
      <c r="C1" s="97"/>
      <c r="D1" s="97"/>
      <c r="E1" s="97"/>
      <c r="F1" s="97"/>
      <c r="G1" s="97"/>
      <c r="H1" s="97"/>
    </row>
    <row r="2" spans="1:8" ht="18">
      <c r="A2" s="104" t="s">
        <v>3</v>
      </c>
      <c r="B2" s="97"/>
      <c r="C2" s="97"/>
      <c r="D2" s="97"/>
      <c r="E2" s="97"/>
      <c r="F2" s="97"/>
      <c r="G2" s="97"/>
      <c r="H2" s="97"/>
    </row>
    <row r="3" spans="1:8" ht="12.75" customHeight="1">
      <c r="A3" s="104"/>
      <c r="B3" s="97"/>
      <c r="C3" s="97"/>
      <c r="D3" s="97"/>
      <c r="E3" s="97"/>
      <c r="F3" s="97"/>
      <c r="G3" s="97"/>
      <c r="H3" s="97"/>
    </row>
    <row r="4" spans="1:8" ht="12.75" customHeight="1">
      <c r="A4" t="s">
        <v>54</v>
      </c>
      <c r="B4" s="96" t="str">
        <f>IF(COVER!$D$15="","",COVER!$D$15)</f>
        <v/>
      </c>
      <c r="C4" s="118"/>
      <c r="D4" s="97"/>
      <c r="E4" s="97"/>
      <c r="F4" s="97"/>
      <c r="G4" s="97"/>
      <c r="H4" s="97"/>
    </row>
    <row r="5" spans="1:8" ht="12.75" customHeight="1">
      <c r="A5" t="s">
        <v>55</v>
      </c>
      <c r="B5" s="119" t="str">
        <f>IF(COVER!$D$18="","",COVER!$D$18)</f>
        <v/>
      </c>
      <c r="C5" s="120"/>
      <c r="D5" s="97"/>
      <c r="E5" s="97"/>
      <c r="F5" s="97"/>
      <c r="G5" s="97"/>
      <c r="H5" s="97"/>
    </row>
    <row r="6" spans="1:8" ht="12.75" customHeight="1">
      <c r="A6" t="s">
        <v>56</v>
      </c>
      <c r="B6" s="119" t="str">
        <f>IF(COVER!$F$21="","",COVER!$F$21)</f>
        <v/>
      </c>
      <c r="C6" s="120"/>
      <c r="D6" s="97"/>
      <c r="E6" s="97"/>
      <c r="F6" s="97"/>
      <c r="G6" s="97"/>
      <c r="H6" s="97"/>
    </row>
    <row r="8" spans="1:8" ht="15.75">
      <c r="B8" s="129" t="s">
        <v>502</v>
      </c>
    </row>
    <row r="9" spans="1:8">
      <c r="A9" s="86"/>
      <c r="C9" s="86"/>
      <c r="D9" s="140"/>
      <c r="E9" s="86"/>
      <c r="F9" s="86"/>
      <c r="G9" s="86"/>
      <c r="H9" s="86"/>
    </row>
    <row r="10" spans="1:8">
      <c r="A10" s="86"/>
      <c r="B10" s="476" t="s">
        <v>345</v>
      </c>
      <c r="C10" s="476"/>
      <c r="D10" s="476"/>
      <c r="E10" s="476"/>
      <c r="F10" s="476"/>
      <c r="G10" s="86"/>
      <c r="H10" s="86"/>
    </row>
    <row r="11" spans="1:8" ht="15.75">
      <c r="A11" s="86"/>
      <c r="B11" s="132">
        <v>1</v>
      </c>
      <c r="C11" s="131" t="s">
        <v>445</v>
      </c>
      <c r="D11" s="83" t="s">
        <v>446</v>
      </c>
      <c r="E11" s="156"/>
      <c r="F11" s="157" t="s">
        <v>348</v>
      </c>
      <c r="G11" s="86"/>
      <c r="H11" s="86"/>
    </row>
    <row r="12" spans="1:8" ht="28.5" customHeight="1">
      <c r="A12" s="86"/>
      <c r="B12" s="132">
        <v>2</v>
      </c>
      <c r="C12" s="133" t="s">
        <v>447</v>
      </c>
      <c r="D12" s="83" t="s">
        <v>198</v>
      </c>
      <c r="E12" s="158"/>
      <c r="F12" s="157" t="s">
        <v>141</v>
      </c>
      <c r="G12" s="86"/>
      <c r="H12" s="86"/>
    </row>
    <row r="13" spans="1:8" ht="32.25" customHeight="1">
      <c r="A13" s="86"/>
      <c r="B13" s="132">
        <v>3</v>
      </c>
      <c r="C13" s="135" t="str">
        <f>IF('1.0 RATE CONTROL'!E45="Yes","Volume of upstream runoff from a 1/2-inch storm = C * At * (0.5) * 1/12","Volume of upstream runoff from a 1-inch storm = C * At * 1/12")</f>
        <v>Volume of upstream runoff from a 1-inch storm = C * At * 1/12</v>
      </c>
      <c r="D13" s="82" t="s">
        <v>350</v>
      </c>
      <c r="E13" s="194">
        <f>IF('1.0 RATE CONTROL'!E45="Yes",E12*E11*(0.5)*(1/12),E12*E11*1/12)</f>
        <v>0</v>
      </c>
      <c r="F13" s="157" t="s">
        <v>339</v>
      </c>
      <c r="G13" s="86"/>
      <c r="H13" s="86"/>
    </row>
    <row r="14" spans="1:8" ht="69" customHeight="1">
      <c r="A14" s="86"/>
      <c r="B14" s="132">
        <v>4</v>
      </c>
      <c r="C14" s="135" t="s">
        <v>503</v>
      </c>
      <c r="D14" s="467"/>
      <c r="E14" s="468"/>
      <c r="F14" s="469"/>
      <c r="G14" s="86"/>
      <c r="H14" s="86"/>
    </row>
    <row r="15" spans="1:8">
      <c r="A15" s="86"/>
      <c r="C15" s="86"/>
      <c r="D15" s="140"/>
      <c r="E15" s="86"/>
      <c r="F15" s="86"/>
      <c r="G15" s="86"/>
      <c r="H15" s="86"/>
    </row>
    <row r="16" spans="1:8">
      <c r="A16" s="86"/>
      <c r="B16" s="476" t="s">
        <v>504</v>
      </c>
      <c r="C16" s="476"/>
      <c r="D16" s="476"/>
      <c r="E16" s="476"/>
      <c r="F16" s="476"/>
      <c r="G16" s="86"/>
      <c r="H16" s="86"/>
    </row>
    <row r="17" spans="1:8">
      <c r="A17" s="86"/>
      <c r="B17" s="466">
        <v>5</v>
      </c>
      <c r="C17" s="464" t="s">
        <v>505</v>
      </c>
      <c r="D17" s="83" t="s">
        <v>506</v>
      </c>
      <c r="E17" s="175" t="s">
        <v>507</v>
      </c>
      <c r="F17" s="76"/>
      <c r="G17" s="86"/>
      <c r="H17" s="86"/>
    </row>
    <row r="18" spans="1:8">
      <c r="A18" s="86"/>
      <c r="B18" s="466"/>
      <c r="C18" s="464"/>
      <c r="D18" s="83"/>
      <c r="E18" s="160"/>
      <c r="F18" s="157" t="s">
        <v>339</v>
      </c>
      <c r="G18" s="86"/>
      <c r="H18" s="86"/>
    </row>
    <row r="19" spans="1:8">
      <c r="A19" s="86"/>
      <c r="B19" s="466"/>
      <c r="C19" s="464"/>
      <c r="D19" s="83"/>
      <c r="E19" s="160"/>
      <c r="F19" s="157" t="s">
        <v>339</v>
      </c>
      <c r="G19" s="86"/>
      <c r="H19" s="86"/>
    </row>
    <row r="20" spans="1:8">
      <c r="A20" s="86"/>
      <c r="B20" s="466"/>
      <c r="C20" s="464"/>
      <c r="D20" s="83"/>
      <c r="E20" s="160"/>
      <c r="F20" s="157" t="s">
        <v>339</v>
      </c>
      <c r="G20" s="86"/>
      <c r="H20" s="86"/>
    </row>
    <row r="21" spans="1:8">
      <c r="A21" s="86"/>
      <c r="B21" s="466"/>
      <c r="C21" s="464"/>
      <c r="D21" s="83"/>
      <c r="E21" s="160"/>
      <c r="F21" s="157" t="s">
        <v>339</v>
      </c>
      <c r="G21" s="86"/>
      <c r="H21" s="86"/>
    </row>
    <row r="22" spans="1:8" ht="15.75">
      <c r="A22" s="86"/>
      <c r="B22" s="130">
        <v>6</v>
      </c>
      <c r="C22" s="135" t="s">
        <v>508</v>
      </c>
      <c r="D22" s="83" t="s">
        <v>509</v>
      </c>
      <c r="E22" s="195">
        <f>SUM(E18:E21)</f>
        <v>0</v>
      </c>
      <c r="F22" s="157" t="s">
        <v>339</v>
      </c>
      <c r="G22" s="86"/>
      <c r="H22" s="86"/>
    </row>
    <row r="23" spans="1:8">
      <c r="A23" s="86"/>
      <c r="B23" s="466">
        <v>7</v>
      </c>
      <c r="C23" s="464" t="s">
        <v>510</v>
      </c>
      <c r="D23" s="83" t="s">
        <v>506</v>
      </c>
      <c r="E23" s="175" t="s">
        <v>507</v>
      </c>
      <c r="F23" s="76"/>
      <c r="G23" s="86"/>
      <c r="H23" s="86"/>
    </row>
    <row r="24" spans="1:8">
      <c r="A24" s="86"/>
      <c r="B24" s="466"/>
      <c r="C24" s="464"/>
      <c r="D24" s="83"/>
      <c r="E24" s="160"/>
      <c r="F24" s="157" t="s">
        <v>339</v>
      </c>
      <c r="G24" s="86"/>
      <c r="H24" s="86"/>
    </row>
    <row r="25" spans="1:8">
      <c r="A25" s="86"/>
      <c r="B25" s="466"/>
      <c r="C25" s="464"/>
      <c r="D25" s="83"/>
      <c r="E25" s="160"/>
      <c r="F25" s="157" t="s">
        <v>339</v>
      </c>
      <c r="G25" s="86"/>
      <c r="H25" s="86"/>
    </row>
    <row r="26" spans="1:8">
      <c r="A26" s="86"/>
      <c r="B26" s="466"/>
      <c r="C26" s="464"/>
      <c r="D26" s="83"/>
      <c r="E26" s="160"/>
      <c r="F26" s="157" t="s">
        <v>339</v>
      </c>
      <c r="G26" s="86"/>
      <c r="H26" s="86"/>
    </row>
    <row r="27" spans="1:8">
      <c r="A27" s="86"/>
      <c r="B27" s="466"/>
      <c r="C27" s="464"/>
      <c r="D27" s="83"/>
      <c r="E27" s="160"/>
      <c r="F27" s="157" t="s">
        <v>339</v>
      </c>
      <c r="G27" s="86"/>
      <c r="H27" s="86"/>
    </row>
    <row r="28" spans="1:8" ht="15.75">
      <c r="A28" s="86"/>
      <c r="B28" s="130">
        <v>8</v>
      </c>
      <c r="C28" s="135" t="s">
        <v>508</v>
      </c>
      <c r="D28" s="83" t="s">
        <v>511</v>
      </c>
      <c r="E28" s="195">
        <f>SUM(E24:E27)</f>
        <v>0</v>
      </c>
      <c r="F28" s="157" t="s">
        <v>339</v>
      </c>
      <c r="G28" s="86"/>
      <c r="H28" s="86"/>
    </row>
    <row r="29" spans="1:8" ht="33.75" customHeight="1">
      <c r="A29" s="86"/>
      <c r="B29" s="130">
        <v>9</v>
      </c>
      <c r="C29" s="135" t="s">
        <v>512</v>
      </c>
      <c r="D29" s="83" t="s">
        <v>513</v>
      </c>
      <c r="E29" s="195">
        <f>+E22+E28</f>
        <v>0</v>
      </c>
      <c r="F29" s="76" t="s">
        <v>339</v>
      </c>
      <c r="G29" s="86"/>
      <c r="H29" s="86"/>
    </row>
    <row r="30" spans="1:8">
      <c r="A30" s="86"/>
      <c r="C30" s="86"/>
      <c r="D30" s="140"/>
      <c r="E30" s="86"/>
      <c r="F30" s="86"/>
      <c r="G30" s="86"/>
      <c r="H30" s="86"/>
    </row>
    <row r="31" spans="1:8">
      <c r="A31" s="86"/>
      <c r="B31" s="476" t="s">
        <v>380</v>
      </c>
      <c r="C31" s="476"/>
      <c r="D31" s="476"/>
      <c r="E31" s="476"/>
      <c r="F31" s="476"/>
      <c r="G31" s="86"/>
      <c r="H31" s="86"/>
    </row>
    <row r="32" spans="1:8" ht="15.75">
      <c r="A32" s="86"/>
      <c r="B32" s="130">
        <v>10</v>
      </c>
      <c r="C32" s="135" t="s">
        <v>463</v>
      </c>
      <c r="D32" s="82" t="s">
        <v>350</v>
      </c>
      <c r="E32" s="194">
        <f>+E13</f>
        <v>0</v>
      </c>
      <c r="F32" s="76" t="s">
        <v>339</v>
      </c>
      <c r="G32" s="86"/>
      <c r="H32" s="86"/>
    </row>
    <row r="33" spans="1:8" ht="16.5" customHeight="1">
      <c r="A33" s="86"/>
      <c r="B33" s="130">
        <v>11</v>
      </c>
      <c r="C33" s="135" t="s">
        <v>514</v>
      </c>
      <c r="D33" s="83" t="s">
        <v>383</v>
      </c>
      <c r="E33" s="194">
        <f>+E29</f>
        <v>0</v>
      </c>
      <c r="F33" s="76" t="s">
        <v>339</v>
      </c>
      <c r="G33" s="86"/>
      <c r="H33" s="86"/>
    </row>
    <row r="34" spans="1:8" ht="15.75">
      <c r="A34" s="86"/>
      <c r="B34" s="130">
        <v>12</v>
      </c>
      <c r="C34" s="135" t="s">
        <v>384</v>
      </c>
      <c r="D34" s="83" t="s">
        <v>385</v>
      </c>
      <c r="E34" s="194">
        <f>MIN(E32:E33)</f>
        <v>0</v>
      </c>
      <c r="F34" s="76" t="s">
        <v>339</v>
      </c>
      <c r="G34" s="86"/>
      <c r="H34" s="86"/>
    </row>
    <row r="35" spans="1:8">
      <c r="A35" s="86"/>
      <c r="C35" s="86"/>
      <c r="D35" s="140"/>
      <c r="E35" s="86"/>
      <c r="F35" s="86"/>
      <c r="G35" s="86"/>
      <c r="H35" s="86"/>
    </row>
    <row r="36" spans="1:8">
      <c r="A36" s="86"/>
      <c r="C36" s="86"/>
      <c r="D36" s="140"/>
      <c r="E36" s="86"/>
      <c r="F36" s="86"/>
      <c r="G36" s="86"/>
      <c r="H36" s="86"/>
    </row>
    <row r="37" spans="1:8">
      <c r="A37" s="86"/>
      <c r="C37" s="86"/>
      <c r="D37" s="140"/>
      <c r="E37" s="86"/>
      <c r="F37" s="86"/>
      <c r="G37" s="86"/>
      <c r="H37" s="86"/>
    </row>
    <row r="38" spans="1:8">
      <c r="A38" s="86"/>
      <c r="C38" s="86"/>
      <c r="D38" s="140"/>
      <c r="E38" s="86"/>
      <c r="F38" s="86"/>
      <c r="G38" s="86"/>
      <c r="H38" s="86"/>
    </row>
    <row r="39" spans="1:8">
      <c r="A39" s="86"/>
      <c r="C39" s="86"/>
      <c r="D39" s="140"/>
      <c r="E39" s="86"/>
      <c r="F39" s="86"/>
      <c r="G39" s="86"/>
      <c r="H39" s="86"/>
    </row>
    <row r="40" spans="1:8">
      <c r="A40" s="86"/>
      <c r="C40" s="86"/>
      <c r="D40" s="140"/>
      <c r="E40" s="86"/>
      <c r="F40" s="86"/>
      <c r="G40" s="86"/>
      <c r="H40" s="86"/>
    </row>
  </sheetData>
  <mergeCells count="8">
    <mergeCell ref="B23:B27"/>
    <mergeCell ref="C23:C27"/>
    <mergeCell ref="B31:F31"/>
    <mergeCell ref="B10:F10"/>
    <mergeCell ref="B16:F16"/>
    <mergeCell ref="D14:F14"/>
    <mergeCell ref="C17:C21"/>
    <mergeCell ref="B17:B21"/>
  </mergeCells>
  <phoneticPr fontId="0" type="noConversion"/>
  <pageMargins left="0.75" right="0.75" top="1" bottom="1" header="0.5" footer="0.5"/>
  <pageSetup scale="83" orientation="portrait" verticalDpi="1200" r:id="rId1"/>
  <headerFooter alignWithMargins="0">
    <oddFooter>&amp;L&amp;8City of Chicago
Dept. of Water Management&amp;C&amp;8Permit Application
Roof Runoff Worksheet - Rain Barrels&amp;R&amp;8&amp;A
Page &amp;P</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H30"/>
  <sheetViews>
    <sheetView zoomScaleNormal="100" workbookViewId="0">
      <selection activeCell="E11" sqref="E11"/>
    </sheetView>
  </sheetViews>
  <sheetFormatPr defaultRowHeight="12.75"/>
  <cols>
    <col min="1" max="1" width="14.85546875" customWidth="1"/>
    <col min="2" max="2" width="6.140625" style="86" customWidth="1"/>
    <col min="3" max="3" width="37.7109375" customWidth="1"/>
    <col min="4" max="4" width="16.5703125" style="98" customWidth="1"/>
    <col min="5" max="5" width="14" customWidth="1"/>
    <col min="6" max="6" width="11.28515625" customWidth="1"/>
  </cols>
  <sheetData>
    <row r="1" spans="1:8" ht="18">
      <c r="A1" s="104" t="s">
        <v>2</v>
      </c>
      <c r="B1" s="97"/>
      <c r="C1" s="97"/>
      <c r="D1" s="97"/>
      <c r="E1" s="97"/>
      <c r="F1" s="97"/>
      <c r="G1" s="97"/>
      <c r="H1" s="97"/>
    </row>
    <row r="2" spans="1:8" ht="18">
      <c r="A2" s="104" t="s">
        <v>3</v>
      </c>
      <c r="B2" s="97"/>
      <c r="C2" s="97"/>
      <c r="D2" s="97"/>
      <c r="E2" s="97"/>
      <c r="F2" s="97"/>
      <c r="G2" s="97"/>
      <c r="H2" s="97"/>
    </row>
    <row r="3" spans="1:8" ht="12.75" customHeight="1">
      <c r="A3" s="104"/>
      <c r="B3" s="97"/>
      <c r="C3" s="97"/>
      <c r="D3" s="97"/>
      <c r="E3" s="97"/>
      <c r="F3" s="97"/>
      <c r="G3" s="97"/>
      <c r="H3" s="97"/>
    </row>
    <row r="4" spans="1:8" ht="12.75" customHeight="1">
      <c r="A4" t="s">
        <v>54</v>
      </c>
      <c r="B4" s="96" t="str">
        <f>IF(COVER!$D$15="","",COVER!$D$15)</f>
        <v/>
      </c>
      <c r="C4" s="118"/>
      <c r="D4" s="97"/>
      <c r="E4" s="97"/>
      <c r="F4" s="97"/>
      <c r="G4" s="97"/>
      <c r="H4" s="97"/>
    </row>
    <row r="5" spans="1:8" ht="12.75" customHeight="1">
      <c r="A5" t="s">
        <v>55</v>
      </c>
      <c r="B5" s="119" t="str">
        <f>IF(COVER!$D$18="","",COVER!$D$18)</f>
        <v/>
      </c>
      <c r="C5" s="120"/>
      <c r="D5" s="97"/>
      <c r="E5" s="97"/>
      <c r="F5" s="97"/>
      <c r="G5" s="97"/>
      <c r="H5" s="97"/>
    </row>
    <row r="6" spans="1:8" ht="12.75" customHeight="1">
      <c r="A6" t="s">
        <v>56</v>
      </c>
      <c r="B6" s="119" t="str">
        <f>IF(COVER!$F$21="","",COVER!$F$21)</f>
        <v/>
      </c>
      <c r="C6" s="120"/>
      <c r="D6" s="97"/>
      <c r="E6" s="97"/>
      <c r="F6" s="97"/>
      <c r="G6" s="97"/>
      <c r="H6" s="97"/>
    </row>
    <row r="8" spans="1:8" ht="15.75">
      <c r="B8" s="129" t="s">
        <v>515</v>
      </c>
    </row>
    <row r="10" spans="1:8">
      <c r="B10" s="465" t="s">
        <v>345</v>
      </c>
      <c r="C10" s="465"/>
      <c r="D10" s="465"/>
      <c r="E10" s="465"/>
      <c r="F10" s="465"/>
    </row>
    <row r="11" spans="1:8" ht="15.75">
      <c r="B11" s="130">
        <v>1</v>
      </c>
      <c r="C11" s="131" t="s">
        <v>445</v>
      </c>
      <c r="D11" s="83" t="s">
        <v>446</v>
      </c>
      <c r="E11" s="156"/>
      <c r="F11" s="76" t="s">
        <v>348</v>
      </c>
    </row>
    <row r="12" spans="1:8" ht="25.5">
      <c r="B12" s="132">
        <v>2</v>
      </c>
      <c r="C12" s="135" t="str">
        <f>IF('1.0 RATE CONTROL'!E44="Yes","Volume of upstream runoff from a 1/2-inch storm = 0.95 * Ai * (0.5) * 1/12","Volume of upstream runoff from a 1-inch storm = 0.95 * Ai * 1/12")</f>
        <v>Volume of upstream runoff from a 1-inch storm = 0.95 * Ai * 1/12</v>
      </c>
      <c r="D12" s="83" t="s">
        <v>350</v>
      </c>
      <c r="E12" s="194">
        <f>IF('1.0 RATE CONTROL'!E45="Yes",0.95*E11*(0.5)*(1/12),0.95*E11*1/12)</f>
        <v>0</v>
      </c>
      <c r="F12" s="76" t="s">
        <v>339</v>
      </c>
    </row>
    <row r="13" spans="1:8" ht="36" customHeight="1">
      <c r="B13" s="130">
        <v>3</v>
      </c>
      <c r="C13" s="135" t="s">
        <v>351</v>
      </c>
      <c r="D13" s="467"/>
      <c r="E13" s="468"/>
      <c r="F13" s="469"/>
    </row>
    <row r="14" spans="1:8">
      <c r="B14"/>
    </row>
    <row r="15" spans="1:8">
      <c r="B15" s="465" t="s">
        <v>353</v>
      </c>
      <c r="C15" s="465"/>
      <c r="D15" s="465"/>
      <c r="E15" s="465"/>
      <c r="F15" s="465"/>
    </row>
    <row r="16" spans="1:8" ht="15.75">
      <c r="B16" s="132">
        <v>4</v>
      </c>
      <c r="C16" s="135" t="s">
        <v>516</v>
      </c>
      <c r="D16" s="82" t="s">
        <v>358</v>
      </c>
      <c r="E16" s="159"/>
      <c r="F16" s="78" t="s">
        <v>287</v>
      </c>
    </row>
    <row r="17" spans="2:6" ht="15.75">
      <c r="B17" s="132">
        <v>5</v>
      </c>
      <c r="C17" s="135" t="s">
        <v>359</v>
      </c>
      <c r="D17" s="82" t="s">
        <v>360</v>
      </c>
      <c r="E17" s="159"/>
      <c r="F17" s="78" t="s">
        <v>287</v>
      </c>
    </row>
    <row r="18" spans="2:6" ht="45.75" customHeight="1">
      <c r="B18" s="132">
        <v>6</v>
      </c>
      <c r="C18" s="135" t="s">
        <v>361</v>
      </c>
      <c r="D18" s="82" t="s">
        <v>362</v>
      </c>
      <c r="E18" s="195">
        <f>E16-E17</f>
        <v>0</v>
      </c>
      <c r="F18" s="78" t="s">
        <v>287</v>
      </c>
    </row>
    <row r="19" spans="2:6" ht="28.5" customHeight="1">
      <c r="B19"/>
      <c r="C19" s="86"/>
    </row>
    <row r="20" spans="2:6">
      <c r="B20" s="465" t="s">
        <v>363</v>
      </c>
      <c r="C20" s="465"/>
      <c r="D20" s="465"/>
      <c r="E20" s="465"/>
      <c r="F20" s="465"/>
    </row>
    <row r="21" spans="2:6" ht="16.5" customHeight="1">
      <c r="B21" s="473">
        <v>7</v>
      </c>
      <c r="C21" s="492" t="s">
        <v>517</v>
      </c>
      <c r="D21" s="83" t="s">
        <v>365</v>
      </c>
      <c r="E21" s="156"/>
      <c r="F21" s="76" t="s">
        <v>287</v>
      </c>
    </row>
    <row r="22" spans="2:6" ht="16.5" customHeight="1">
      <c r="B22" s="474"/>
      <c r="C22" s="493"/>
      <c r="D22" s="83" t="s">
        <v>366</v>
      </c>
      <c r="E22" s="156"/>
      <c r="F22" s="76" t="s">
        <v>287</v>
      </c>
    </row>
    <row r="23" spans="2:6">
      <c r="B23" s="475"/>
      <c r="C23" s="494"/>
      <c r="D23" s="83" t="s">
        <v>518</v>
      </c>
      <c r="E23" s="158"/>
      <c r="F23" s="76" t="s">
        <v>399</v>
      </c>
    </row>
    <row r="24" spans="2:6" ht="54">
      <c r="B24" s="130">
        <v>8</v>
      </c>
      <c r="C24" s="135" t="s">
        <v>519</v>
      </c>
      <c r="D24" s="83" t="s">
        <v>520</v>
      </c>
      <c r="E24" s="201" t="e">
        <f>E11/E22</f>
        <v>#DIV/0!</v>
      </c>
      <c r="F24" s="76" t="s">
        <v>287</v>
      </c>
    </row>
    <row r="25" spans="2:6" ht="69" customHeight="1">
      <c r="B25" s="130">
        <v>9</v>
      </c>
      <c r="C25" s="135" t="s">
        <v>521</v>
      </c>
      <c r="D25" s="82" t="s">
        <v>522</v>
      </c>
      <c r="E25" s="201">
        <f>E21*E22</f>
        <v>0</v>
      </c>
      <c r="F25" s="76" t="s">
        <v>348</v>
      </c>
    </row>
    <row r="26" spans="2:6">
      <c r="B26"/>
      <c r="C26" s="86"/>
    </row>
    <row r="27" spans="2:6">
      <c r="B27" s="465" t="s">
        <v>380</v>
      </c>
      <c r="C27" s="465"/>
      <c r="D27" s="465"/>
      <c r="E27" s="465"/>
      <c r="F27" s="465"/>
    </row>
    <row r="28" spans="2:6" ht="25.5">
      <c r="B28" s="130">
        <v>10</v>
      </c>
      <c r="C28" s="135" t="s">
        <v>523</v>
      </c>
      <c r="D28" s="83" t="s">
        <v>350</v>
      </c>
      <c r="E28" s="185">
        <f>+E12</f>
        <v>0</v>
      </c>
      <c r="F28" s="76" t="s">
        <v>339</v>
      </c>
    </row>
    <row r="29" spans="2:6" ht="32.25" customHeight="1">
      <c r="B29" s="130">
        <v>11</v>
      </c>
      <c r="C29" s="78" t="s">
        <v>524</v>
      </c>
      <c r="D29" s="83" t="s">
        <v>383</v>
      </c>
      <c r="E29" s="188">
        <f>E25*0.5/12</f>
        <v>0</v>
      </c>
      <c r="F29" s="76" t="s">
        <v>339</v>
      </c>
    </row>
    <row r="30" spans="2:6" ht="15.75">
      <c r="B30" s="130">
        <v>12</v>
      </c>
      <c r="C30" s="78" t="s">
        <v>384</v>
      </c>
      <c r="D30" s="83" t="s">
        <v>385</v>
      </c>
      <c r="E30" s="185">
        <f>MIN(E28:E29)</f>
        <v>0</v>
      </c>
      <c r="F30" s="76" t="s">
        <v>339</v>
      </c>
    </row>
  </sheetData>
  <mergeCells count="7">
    <mergeCell ref="B27:F27"/>
    <mergeCell ref="B10:F10"/>
    <mergeCell ref="B20:F20"/>
    <mergeCell ref="B15:F15"/>
    <mergeCell ref="D13:F13"/>
    <mergeCell ref="C21:C23"/>
    <mergeCell ref="B21:B23"/>
  </mergeCells>
  <phoneticPr fontId="0" type="noConversion"/>
  <pageMargins left="0.75" right="0.75" top="1" bottom="1" header="0.5" footer="0.5"/>
  <pageSetup scale="90" orientation="portrait" verticalDpi="1200" r:id="rId1"/>
  <headerFooter alignWithMargins="0">
    <oddFooter>&amp;L&amp;8City of Chicago
Dept. of Water Management&amp;C&amp;8Permit Application
Filter Strips Worksheet&amp;R&amp;8&amp;A
Page &amp;P</oddFooter>
  </headerFooter>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
    <pageSetUpPr fitToPage="1"/>
  </sheetPr>
  <dimension ref="A1:J48"/>
  <sheetViews>
    <sheetView showGridLines="0" zoomScaleNormal="100" workbookViewId="0">
      <selection activeCell="D18" sqref="D18"/>
    </sheetView>
  </sheetViews>
  <sheetFormatPr defaultRowHeight="12.75"/>
  <cols>
    <col min="1" max="1" width="14.5703125" customWidth="1"/>
    <col min="2" max="2" width="15.28515625" customWidth="1"/>
    <col min="3" max="3" width="24.7109375" customWidth="1"/>
    <col min="4" max="9" width="13.7109375" customWidth="1"/>
  </cols>
  <sheetData>
    <row r="1" spans="1:9" ht="18">
      <c r="A1" s="104" t="s">
        <v>2</v>
      </c>
      <c r="B1" s="97"/>
      <c r="C1" s="97"/>
      <c r="D1" s="97"/>
      <c r="E1" s="97"/>
      <c r="F1" s="97"/>
      <c r="G1" s="97"/>
    </row>
    <row r="2" spans="1:9" ht="18">
      <c r="A2" s="104" t="s">
        <v>3</v>
      </c>
      <c r="B2" s="97"/>
      <c r="C2" s="97"/>
      <c r="D2" s="97"/>
      <c r="E2" s="97"/>
      <c r="F2" s="97"/>
      <c r="G2" s="97"/>
    </row>
    <row r="3" spans="1:9" ht="12.75" customHeight="1">
      <c r="A3" s="104"/>
      <c r="B3" s="97"/>
      <c r="C3" s="97"/>
      <c r="D3" s="97"/>
      <c r="E3" s="97"/>
      <c r="F3" s="97"/>
      <c r="G3" s="97"/>
    </row>
    <row r="4" spans="1:9" ht="12.75" customHeight="1">
      <c r="A4" t="s">
        <v>54</v>
      </c>
      <c r="B4" s="96" t="str">
        <f>IF(COVER!$D$15="","",COVER!$D$15)</f>
        <v/>
      </c>
      <c r="C4" s="118"/>
      <c r="D4" s="97"/>
      <c r="E4" s="97"/>
      <c r="F4" s="97"/>
      <c r="G4" s="97"/>
    </row>
    <row r="5" spans="1:9" ht="12.75" customHeight="1">
      <c r="A5" t="s">
        <v>55</v>
      </c>
      <c r="B5" s="119" t="str">
        <f>IF(COVER!$D$18="","",COVER!$D$18)</f>
        <v/>
      </c>
      <c r="C5" s="120"/>
      <c r="D5" s="97"/>
      <c r="E5" s="97"/>
      <c r="F5" s="97"/>
      <c r="G5" s="97"/>
    </row>
    <row r="6" spans="1:9" ht="12.75" customHeight="1">
      <c r="A6" t="s">
        <v>56</v>
      </c>
      <c r="B6" s="119" t="str">
        <f>IF(COVER!$F$21="","",COVER!$F$21)</f>
        <v/>
      </c>
      <c r="C6" s="120"/>
      <c r="D6" s="97"/>
      <c r="E6" s="97"/>
      <c r="F6" s="97"/>
      <c r="G6" s="97"/>
    </row>
    <row r="7" spans="1:9" ht="12.75" customHeight="1">
      <c r="B7" s="91"/>
      <c r="C7" s="97"/>
      <c r="D7" s="97"/>
      <c r="E7" s="97"/>
      <c r="F7" s="97"/>
      <c r="G7" s="97"/>
    </row>
    <row r="8" spans="1:9" ht="18">
      <c r="A8" s="104" t="s">
        <v>525</v>
      </c>
    </row>
    <row r="9" spans="1:9">
      <c r="A9" s="6" t="s">
        <v>526</v>
      </c>
      <c r="C9" s="3"/>
      <c r="D9" s="3"/>
      <c r="E9" s="3"/>
      <c r="F9" s="5"/>
      <c r="G9" s="5"/>
      <c r="H9" s="5"/>
    </row>
    <row r="10" spans="1:9">
      <c r="A10" s="316" t="str">
        <f>IF('1.0 RATE CONTROL'!E51="","",IF('1.0 RATE CONTROL'!E51="No","Oversized detention is not allowed.  Do not complete this worksheet.",""))</f>
        <v/>
      </c>
      <c r="B10" s="7"/>
      <c r="C10" s="6"/>
      <c r="D10" s="6"/>
      <c r="E10" s="6"/>
      <c r="F10" s="6"/>
      <c r="G10" s="6"/>
      <c r="H10" s="6"/>
      <c r="I10" s="7"/>
    </row>
    <row r="11" spans="1:9">
      <c r="A11" s="6"/>
      <c r="C11" s="6"/>
      <c r="D11" s="18"/>
      <c r="E11" s="19"/>
      <c r="H11" s="6"/>
      <c r="I11" s="7"/>
    </row>
    <row r="12" spans="1:9">
      <c r="A12" s="21" t="s">
        <v>107</v>
      </c>
      <c r="B12" s="22" t="s">
        <v>527</v>
      </c>
      <c r="C12" s="7"/>
      <c r="D12" s="495"/>
      <c r="E12" s="497" t="s">
        <v>528</v>
      </c>
      <c r="F12" s="502" t="s">
        <v>148</v>
      </c>
      <c r="G12" s="502"/>
      <c r="H12" s="6"/>
      <c r="I12" s="7"/>
    </row>
    <row r="13" spans="1:9">
      <c r="A13" s="6"/>
      <c r="B13" s="15"/>
      <c r="C13" s="6"/>
      <c r="D13" s="496"/>
      <c r="E13" s="498"/>
      <c r="F13" s="502"/>
      <c r="G13" s="502"/>
      <c r="H13" s="6"/>
      <c r="I13" s="7"/>
    </row>
    <row r="14" spans="1:9" ht="51">
      <c r="A14" s="2"/>
      <c r="B14" s="24"/>
      <c r="C14" s="27" t="s">
        <v>529</v>
      </c>
      <c r="D14" s="326">
        <f>'1.0 RATE CONTROL'!G72</f>
        <v>0</v>
      </c>
      <c r="E14" s="36" t="s">
        <v>168</v>
      </c>
      <c r="F14" s="122"/>
      <c r="G14" s="123"/>
      <c r="H14" s="2"/>
    </row>
    <row r="15" spans="1:9" ht="25.5" customHeight="1">
      <c r="A15" s="2"/>
      <c r="B15" s="24"/>
      <c r="C15" s="27" t="s">
        <v>530</v>
      </c>
      <c r="D15" s="183">
        <f>'1.0 RATE CONTROL'!C67</f>
        <v>0</v>
      </c>
      <c r="E15" s="36" t="s">
        <v>339</v>
      </c>
      <c r="F15" s="124"/>
      <c r="G15" s="125"/>
      <c r="H15" s="2"/>
    </row>
    <row r="16" spans="1:9" ht="23.25" customHeight="1">
      <c r="A16" s="2"/>
      <c r="B16" s="24"/>
      <c r="C16" s="27" t="s">
        <v>531</v>
      </c>
      <c r="D16" s="183">
        <f>'2.0 VOLUME CONTROL'!C47</f>
        <v>0</v>
      </c>
      <c r="E16" s="36" t="s">
        <v>339</v>
      </c>
      <c r="F16" s="124"/>
      <c r="G16" s="125"/>
      <c r="H16" s="2"/>
    </row>
    <row r="17" spans="1:10" ht="25.5">
      <c r="A17" s="2"/>
      <c r="B17" s="2"/>
      <c r="C17" s="27" t="s">
        <v>532</v>
      </c>
      <c r="D17" s="183">
        <f>D16+D15</f>
        <v>0</v>
      </c>
      <c r="E17" s="36" t="s">
        <v>339</v>
      </c>
      <c r="F17" s="126"/>
      <c r="G17" s="127"/>
      <c r="H17" s="2"/>
    </row>
    <row r="18" spans="1:10" ht="63.75">
      <c r="A18" s="2"/>
      <c r="B18" s="2"/>
      <c r="C18" s="27" t="s">
        <v>533</v>
      </c>
      <c r="D18" s="314"/>
      <c r="E18" s="36" t="s">
        <v>168</v>
      </c>
      <c r="F18" s="499" t="str">
        <f>IF(D18="","","Complete Tab 1.3 Restrictor Sizing")</f>
        <v/>
      </c>
      <c r="G18" s="500"/>
      <c r="H18" s="2"/>
    </row>
    <row r="19" spans="1:10">
      <c r="A19" s="2"/>
      <c r="B19" s="2"/>
      <c r="C19" s="27" t="s">
        <v>534</v>
      </c>
      <c r="D19" s="190" t="str">
        <f>IF(D18="","",I46)</f>
        <v/>
      </c>
      <c r="E19" s="68" t="s">
        <v>339</v>
      </c>
      <c r="F19" s="501" t="str">
        <f>IF(D18="","",IF(D19&lt;D17,"Oversized detention not achieved",IF(D19&gt;D17,"Oversized detention achieved"," ")))</f>
        <v/>
      </c>
      <c r="G19" s="501"/>
      <c r="H19" s="2"/>
    </row>
    <row r="20" spans="1:10">
      <c r="A20" s="2"/>
      <c r="B20" s="2"/>
      <c r="C20" s="71"/>
      <c r="D20" s="38"/>
      <c r="E20" s="69"/>
      <c r="F20" s="2"/>
      <c r="G20" s="2"/>
      <c r="H20" s="2"/>
    </row>
    <row r="21" spans="1:10">
      <c r="A21" s="2"/>
      <c r="B21" s="2"/>
      <c r="C21" s="71"/>
      <c r="D21" s="38"/>
      <c r="E21" s="69"/>
      <c r="F21" s="2"/>
      <c r="G21" s="2"/>
      <c r="H21" s="2"/>
    </row>
    <row r="22" spans="1:10">
      <c r="A22" s="2"/>
      <c r="B22" s="2"/>
      <c r="C22" s="7"/>
      <c r="D22" s="38"/>
      <c r="E22" s="7"/>
      <c r="F22" s="2"/>
      <c r="G22" s="2"/>
      <c r="H22" s="2"/>
    </row>
    <row r="23" spans="1:10" ht="17.25" customHeight="1">
      <c r="A23" s="30" t="s">
        <v>535</v>
      </c>
      <c r="B23" s="53"/>
      <c r="C23" s="53"/>
      <c r="D23" s="53"/>
      <c r="E23" s="53"/>
      <c r="F23" s="53"/>
      <c r="G23" s="53"/>
      <c r="H23" s="53"/>
      <c r="I23" s="54"/>
      <c r="J23" s="29"/>
    </row>
    <row r="24" spans="1:10">
      <c r="A24" s="7" t="s">
        <v>175</v>
      </c>
      <c r="B24" s="31"/>
      <c r="C24" s="31"/>
      <c r="D24" s="33"/>
      <c r="E24" s="53"/>
      <c r="F24" s="31"/>
      <c r="G24" s="31"/>
      <c r="H24" s="31"/>
      <c r="I24" s="32"/>
      <c r="J24" s="29"/>
    </row>
    <row r="25" spans="1:10" ht="13.5" thickBot="1">
      <c r="A25" s="31"/>
      <c r="B25" s="31"/>
      <c r="C25" s="45" t="s">
        <v>176</v>
      </c>
      <c r="D25" s="33"/>
      <c r="E25" s="31"/>
      <c r="F25" s="31"/>
      <c r="G25" s="31"/>
      <c r="H25" s="31"/>
      <c r="I25" s="32"/>
      <c r="J25" s="29"/>
    </row>
    <row r="26" spans="1:10" ht="14.25" thickTop="1" thickBot="1">
      <c r="A26" s="53"/>
      <c r="B26" s="53"/>
      <c r="C26" s="70">
        <v>100</v>
      </c>
      <c r="D26" s="53"/>
      <c r="E26" s="55"/>
      <c r="F26" s="56"/>
      <c r="G26" s="72">
        <f>IF(D18="",0,D18)</f>
        <v>0</v>
      </c>
      <c r="H26" s="57" t="s">
        <v>168</v>
      </c>
      <c r="I26" s="54"/>
      <c r="J26" s="29"/>
    </row>
    <row r="27" spans="1:10" ht="13.5" thickTop="1">
      <c r="A27" s="49"/>
      <c r="B27" s="49"/>
      <c r="C27" s="49"/>
      <c r="D27" s="49"/>
      <c r="E27" s="50" t="s">
        <v>536</v>
      </c>
      <c r="F27" s="50"/>
      <c r="G27" s="50" t="s">
        <v>179</v>
      </c>
      <c r="H27" s="50" t="s">
        <v>180</v>
      </c>
      <c r="I27" s="49" t="s">
        <v>180</v>
      </c>
      <c r="J27" s="29"/>
    </row>
    <row r="28" spans="1:10">
      <c r="A28" s="50" t="s">
        <v>181</v>
      </c>
      <c r="B28" s="50" t="s">
        <v>182</v>
      </c>
      <c r="C28" s="50" t="s">
        <v>183</v>
      </c>
      <c r="D28" s="50" t="s">
        <v>184</v>
      </c>
      <c r="E28" s="50" t="s">
        <v>185</v>
      </c>
      <c r="F28" s="50" t="s">
        <v>186</v>
      </c>
      <c r="G28" s="50" t="s">
        <v>185</v>
      </c>
      <c r="H28" s="50" t="s">
        <v>185</v>
      </c>
      <c r="I28" s="50" t="s">
        <v>187</v>
      </c>
      <c r="J28" s="29"/>
    </row>
    <row r="29" spans="1:10">
      <c r="A29" s="50" t="s">
        <v>188</v>
      </c>
      <c r="B29" s="50" t="s">
        <v>189</v>
      </c>
      <c r="C29" s="50" t="s">
        <v>190</v>
      </c>
      <c r="D29" s="50" t="s">
        <v>191</v>
      </c>
      <c r="E29" s="50" t="s">
        <v>192</v>
      </c>
      <c r="F29" s="50" t="s">
        <v>193</v>
      </c>
      <c r="G29" s="50" t="s">
        <v>194</v>
      </c>
      <c r="H29" s="50" t="s">
        <v>195</v>
      </c>
      <c r="I29" s="50" t="s">
        <v>196</v>
      </c>
      <c r="J29" s="29"/>
    </row>
    <row r="30" spans="1:10">
      <c r="A30" s="51" t="s">
        <v>197</v>
      </c>
      <c r="B30" s="51" t="s">
        <v>198</v>
      </c>
      <c r="C30" s="51" t="s">
        <v>199</v>
      </c>
      <c r="D30" s="51" t="s">
        <v>200</v>
      </c>
      <c r="E30" s="51" t="s">
        <v>201</v>
      </c>
      <c r="F30" s="51" t="s">
        <v>202</v>
      </c>
      <c r="G30" s="51" t="s">
        <v>201</v>
      </c>
      <c r="H30" s="51" t="s">
        <v>201</v>
      </c>
      <c r="I30" s="51" t="s">
        <v>202</v>
      </c>
      <c r="J30" s="29"/>
    </row>
    <row r="31" spans="1:10">
      <c r="A31" s="42">
        <v>5</v>
      </c>
      <c r="B31" s="58">
        <f>'1.0 RATE CONTROL'!B77</f>
        <v>0</v>
      </c>
      <c r="C31" s="59">
        <f>IF(C$26=100,IDF!L18,IF(C$26=50,IDF!J18,IF(C$26=25,IDF!H18,IF(C$26=10,IDF!F18,IF(C$26=5,IDF!D18,"invalid entry in C26")))))</f>
        <v>12.36</v>
      </c>
      <c r="D31" s="58">
        <f>'1.0 RATE CONTROL'!D77</f>
        <v>0</v>
      </c>
      <c r="E31" s="58">
        <f t="shared" ref="E31:E45" si="0">B31*C31*D31</f>
        <v>0</v>
      </c>
      <c r="F31" s="60">
        <f t="shared" ref="F31:F45" si="1">A31*E31*60</f>
        <v>0</v>
      </c>
      <c r="G31" s="61">
        <f>G26</f>
        <v>0</v>
      </c>
      <c r="H31" s="58">
        <f>E31-G31</f>
        <v>0</v>
      </c>
      <c r="I31" s="39">
        <f t="shared" ref="I31:I45" si="2">H31*A31*60</f>
        <v>0</v>
      </c>
      <c r="J31" s="29"/>
    </row>
    <row r="32" spans="1:10">
      <c r="A32" s="42">
        <v>10</v>
      </c>
      <c r="B32" s="58">
        <f t="shared" ref="B32:B45" si="3">B31</f>
        <v>0</v>
      </c>
      <c r="C32" s="59">
        <f>IF(C$26=100,IDF!L19,IF(C$26=50,IDF!J19,IF(C$26=25,IDF!H19,IF(C$26=10,IDF!F19,IF(C$26=5,IDF!D19,"invalid entry in C26")))))</f>
        <v>10.8</v>
      </c>
      <c r="D32" s="52">
        <f t="shared" ref="D32:D45" si="4">D31</f>
        <v>0</v>
      </c>
      <c r="E32" s="58">
        <f t="shared" si="0"/>
        <v>0</v>
      </c>
      <c r="F32" s="60">
        <f t="shared" si="1"/>
        <v>0</v>
      </c>
      <c r="G32" s="61">
        <f t="shared" ref="G32:G45" si="5">G31</f>
        <v>0</v>
      </c>
      <c r="H32" s="58">
        <f t="shared" ref="H32:H45" si="6">E32-G32</f>
        <v>0</v>
      </c>
      <c r="I32" s="39">
        <f t="shared" si="2"/>
        <v>0</v>
      </c>
      <c r="J32" s="29"/>
    </row>
    <row r="33" spans="1:10">
      <c r="A33" s="42">
        <v>15</v>
      </c>
      <c r="B33" s="58">
        <f t="shared" si="3"/>
        <v>0</v>
      </c>
      <c r="C33" s="59">
        <f>IF(C$26=100,IDF!L20,IF(C$26=50,IDF!J20,IF(C$26=25,IDF!H20,IF(C$26=10,IDF!F20,IF(C$26=5,IDF!D20,"invalid entry in C26")))))</f>
        <v>9.2799999999999994</v>
      </c>
      <c r="D33" s="52">
        <f t="shared" si="4"/>
        <v>0</v>
      </c>
      <c r="E33" s="58">
        <f t="shared" si="0"/>
        <v>0</v>
      </c>
      <c r="F33" s="60">
        <f t="shared" si="1"/>
        <v>0</v>
      </c>
      <c r="G33" s="61">
        <f t="shared" si="5"/>
        <v>0</v>
      </c>
      <c r="H33" s="58">
        <f t="shared" si="6"/>
        <v>0</v>
      </c>
      <c r="I33" s="39">
        <f t="shared" si="2"/>
        <v>0</v>
      </c>
      <c r="J33" s="29"/>
    </row>
    <row r="34" spans="1:10">
      <c r="A34" s="42">
        <v>30</v>
      </c>
      <c r="B34" s="58">
        <f t="shared" si="3"/>
        <v>0</v>
      </c>
      <c r="C34" s="59">
        <f>IF(C$26=100,IDF!L21,IF(C$26=50,IDF!J21,IF(C$26=25,IDF!H21,IF(C$26=10,IDF!F21,IF(C$26=5,IDF!D21,"invalid entry in C26")))))</f>
        <v>6.34</v>
      </c>
      <c r="D34" s="52">
        <f t="shared" si="4"/>
        <v>0</v>
      </c>
      <c r="E34" s="58">
        <f t="shared" si="0"/>
        <v>0</v>
      </c>
      <c r="F34" s="60">
        <f t="shared" si="1"/>
        <v>0</v>
      </c>
      <c r="G34" s="61">
        <f t="shared" si="5"/>
        <v>0</v>
      </c>
      <c r="H34" s="58">
        <f t="shared" si="6"/>
        <v>0</v>
      </c>
      <c r="I34" s="39">
        <f t="shared" si="2"/>
        <v>0</v>
      </c>
      <c r="J34" s="29"/>
    </row>
    <row r="35" spans="1:10">
      <c r="A35" s="42">
        <v>60</v>
      </c>
      <c r="B35" s="58">
        <f t="shared" si="3"/>
        <v>0</v>
      </c>
      <c r="C35" s="59">
        <f>IF(C$26=100,IDF!L22,IF(C$26=50,IDF!J22,IF(C$26=25,IDF!H22,IF(C$26=10,IDF!F22,IF(C$26=5,IDF!D22,"invalid entry in C26")))))</f>
        <v>4.03</v>
      </c>
      <c r="D35" s="52">
        <f t="shared" si="4"/>
        <v>0</v>
      </c>
      <c r="E35" s="58">
        <f t="shared" si="0"/>
        <v>0</v>
      </c>
      <c r="F35" s="60">
        <f t="shared" si="1"/>
        <v>0</v>
      </c>
      <c r="G35" s="61">
        <f t="shared" si="5"/>
        <v>0</v>
      </c>
      <c r="H35" s="58">
        <f t="shared" si="6"/>
        <v>0</v>
      </c>
      <c r="I35" s="39">
        <f t="shared" si="2"/>
        <v>0</v>
      </c>
      <c r="J35" s="29"/>
    </row>
    <row r="36" spans="1:10">
      <c r="A36" s="42">
        <f>2*60</f>
        <v>120</v>
      </c>
      <c r="B36" s="58">
        <f t="shared" si="3"/>
        <v>0</v>
      </c>
      <c r="C36" s="59">
        <f>IF(C$26=100,IDF!L23,IF(C$26=50,IDF!J23,IF(C$26=25,IDF!H23,IF(C$26=10,IDF!F23,IF(C$26=5,IDF!D23,"invalid entry in C26")))))</f>
        <v>2.4849999999999999</v>
      </c>
      <c r="D36" s="52">
        <f t="shared" si="4"/>
        <v>0</v>
      </c>
      <c r="E36" s="58">
        <f t="shared" si="0"/>
        <v>0</v>
      </c>
      <c r="F36" s="60">
        <f t="shared" si="1"/>
        <v>0</v>
      </c>
      <c r="G36" s="61">
        <f t="shared" si="5"/>
        <v>0</v>
      </c>
      <c r="H36" s="58">
        <f t="shared" si="6"/>
        <v>0</v>
      </c>
      <c r="I36" s="39">
        <f t="shared" si="2"/>
        <v>0</v>
      </c>
      <c r="J36" s="29"/>
    </row>
    <row r="37" spans="1:10">
      <c r="A37" s="42">
        <f>3*60</f>
        <v>180</v>
      </c>
      <c r="B37" s="58">
        <f t="shared" si="3"/>
        <v>0</v>
      </c>
      <c r="C37" s="59">
        <f>IF(C$26=100,IDF!L24,IF(C$26=50,IDF!J24,IF(C$26=25,IDF!H24,IF(C$26=10,IDF!F24,IF(C$26=5,IDF!D24,"invalid entry in C26")))))</f>
        <v>1.83</v>
      </c>
      <c r="D37" s="52">
        <f t="shared" si="4"/>
        <v>0</v>
      </c>
      <c r="E37" s="58">
        <f t="shared" si="0"/>
        <v>0</v>
      </c>
      <c r="F37" s="60">
        <f t="shared" si="1"/>
        <v>0</v>
      </c>
      <c r="G37" s="61">
        <f t="shared" si="5"/>
        <v>0</v>
      </c>
      <c r="H37" s="58">
        <f t="shared" si="6"/>
        <v>0</v>
      </c>
      <c r="I37" s="39">
        <f t="shared" si="2"/>
        <v>0</v>
      </c>
      <c r="J37" s="29"/>
    </row>
    <row r="38" spans="1:10">
      <c r="A38" s="42">
        <f>6*60</f>
        <v>360</v>
      </c>
      <c r="B38" s="58">
        <f t="shared" si="3"/>
        <v>0</v>
      </c>
      <c r="C38" s="59">
        <f>IF(C$26=100,IDF!L25,IF(C$26=50,IDF!J25,IF(C$26=25,IDF!H25,IF(C$26=10,IDF!F25,IF(C$26=5,IDF!D25,"invalid entry in C26")))))</f>
        <v>1.0716666666666665</v>
      </c>
      <c r="D38" s="52">
        <f t="shared" si="4"/>
        <v>0</v>
      </c>
      <c r="E38" s="58">
        <f t="shared" si="0"/>
        <v>0</v>
      </c>
      <c r="F38" s="60">
        <f t="shared" si="1"/>
        <v>0</v>
      </c>
      <c r="G38" s="61">
        <f t="shared" si="5"/>
        <v>0</v>
      </c>
      <c r="H38" s="58">
        <f t="shared" si="6"/>
        <v>0</v>
      </c>
      <c r="I38" s="39">
        <f t="shared" si="2"/>
        <v>0</v>
      </c>
      <c r="J38" s="29"/>
    </row>
    <row r="39" spans="1:10">
      <c r="A39" s="42">
        <f>12*60</f>
        <v>720</v>
      </c>
      <c r="B39" s="58">
        <f t="shared" si="3"/>
        <v>0</v>
      </c>
      <c r="C39" s="59">
        <f>IF(C$26=100,IDF!L26,IF(C$26=50,IDF!J26,IF(C$26=25,IDF!H26,IF(C$26=10,IDF!F26,IF(C$26=5,IDF!D26,"invalid entry in C26")))))</f>
        <v>0.62166666666666659</v>
      </c>
      <c r="D39" s="52">
        <f t="shared" si="4"/>
        <v>0</v>
      </c>
      <c r="E39" s="58">
        <f t="shared" si="0"/>
        <v>0</v>
      </c>
      <c r="F39" s="60">
        <f t="shared" si="1"/>
        <v>0</v>
      </c>
      <c r="G39" s="61">
        <f t="shared" si="5"/>
        <v>0</v>
      </c>
      <c r="H39" s="58">
        <f t="shared" si="6"/>
        <v>0</v>
      </c>
      <c r="I39" s="39">
        <f t="shared" si="2"/>
        <v>0</v>
      </c>
      <c r="J39" s="29"/>
    </row>
    <row r="40" spans="1:10">
      <c r="A40" s="42">
        <f>18*60</f>
        <v>1080</v>
      </c>
      <c r="B40" s="58">
        <f t="shared" si="3"/>
        <v>0</v>
      </c>
      <c r="C40" s="59">
        <f>IF(C$26=100,IDF!L27,IF(C$26=50,IDF!J27,IF(C$26=25,IDF!H27,IF(C$26=10,IDF!F27,IF(C$26=5,IDF!D27,"invalid entry in C26")))))</f>
        <v>0.44777777777777777</v>
      </c>
      <c r="D40" s="52">
        <f t="shared" si="4"/>
        <v>0</v>
      </c>
      <c r="E40" s="58">
        <f t="shared" si="0"/>
        <v>0</v>
      </c>
      <c r="F40" s="60">
        <f t="shared" si="1"/>
        <v>0</v>
      </c>
      <c r="G40" s="61">
        <f t="shared" si="5"/>
        <v>0</v>
      </c>
      <c r="H40" s="58">
        <f t="shared" si="6"/>
        <v>0</v>
      </c>
      <c r="I40" s="39">
        <f t="shared" si="2"/>
        <v>0</v>
      </c>
      <c r="J40" s="29"/>
    </row>
    <row r="41" spans="1:10">
      <c r="A41" s="42">
        <f>24*60</f>
        <v>1440</v>
      </c>
      <c r="B41" s="58">
        <f t="shared" si="3"/>
        <v>0</v>
      </c>
      <c r="C41" s="59">
        <f>IF(C$26=100,IDF!L28,IF(C$26=50,IDF!J28,IF(C$26=25,IDF!H28,IF(C$26=10,IDF!F28,IF(C$26=5,IDF!D28,"invalid entry in C26")))))</f>
        <v>0.35708333333333331</v>
      </c>
      <c r="D41" s="52">
        <f t="shared" si="4"/>
        <v>0</v>
      </c>
      <c r="E41" s="58">
        <f t="shared" si="0"/>
        <v>0</v>
      </c>
      <c r="F41" s="60">
        <f t="shared" si="1"/>
        <v>0</v>
      </c>
      <c r="G41" s="61">
        <f t="shared" si="5"/>
        <v>0</v>
      </c>
      <c r="H41" s="58">
        <f t="shared" si="6"/>
        <v>0</v>
      </c>
      <c r="I41" s="39">
        <f t="shared" si="2"/>
        <v>0</v>
      </c>
      <c r="J41" s="29"/>
    </row>
    <row r="42" spans="1:10">
      <c r="A42" s="42">
        <f>48*60</f>
        <v>2880</v>
      </c>
      <c r="B42" s="58">
        <f t="shared" si="3"/>
        <v>0</v>
      </c>
      <c r="C42" s="59">
        <f>IF(C$26=100,IDF!L29,IF(C$26=50,IDF!J29,IF(C$26=25,IDF!H29,IF(C$26=10,IDF!F29,IF(C$26=5,IDF!D29,"invalid entry in C26")))))</f>
        <v>0.1933333333333333</v>
      </c>
      <c r="D42" s="52">
        <f t="shared" si="4"/>
        <v>0</v>
      </c>
      <c r="E42" s="58">
        <f t="shared" si="0"/>
        <v>0</v>
      </c>
      <c r="F42" s="60">
        <f t="shared" si="1"/>
        <v>0</v>
      </c>
      <c r="G42" s="61">
        <f t="shared" si="5"/>
        <v>0</v>
      </c>
      <c r="H42" s="58">
        <f t="shared" si="6"/>
        <v>0</v>
      </c>
      <c r="I42" s="39">
        <f t="shared" si="2"/>
        <v>0</v>
      </c>
      <c r="J42" s="29"/>
    </row>
    <row r="43" spans="1:10">
      <c r="A43" s="42">
        <f>72*60</f>
        <v>4320</v>
      </c>
      <c r="B43" s="58">
        <f t="shared" si="3"/>
        <v>0</v>
      </c>
      <c r="C43" s="59">
        <f>IF(C$26=100,IDF!L30,IF(C$26=50,IDF!J30,IF(C$26=25,IDF!H30,IF(C$26=10,IDF!F30,IF(C$26=5,IDF!D30,"invalid entry in C26")))))</f>
        <v>0.13680555555555554</v>
      </c>
      <c r="D43" s="52">
        <f t="shared" si="4"/>
        <v>0</v>
      </c>
      <c r="E43" s="58">
        <f t="shared" si="0"/>
        <v>0</v>
      </c>
      <c r="F43" s="60">
        <f t="shared" si="1"/>
        <v>0</v>
      </c>
      <c r="G43" s="61">
        <f t="shared" si="5"/>
        <v>0</v>
      </c>
      <c r="H43" s="58">
        <f t="shared" si="6"/>
        <v>0</v>
      </c>
      <c r="I43" s="39">
        <f t="shared" si="2"/>
        <v>0</v>
      </c>
      <c r="J43" s="29"/>
    </row>
    <row r="44" spans="1:10">
      <c r="A44" s="42">
        <f>5*24*60</f>
        <v>7200</v>
      </c>
      <c r="B44" s="58">
        <f t="shared" si="3"/>
        <v>0</v>
      </c>
      <c r="C44" s="59">
        <f>IF(C$26=100,IDF!L31,IF(C$26=50,IDF!J31,IF(C$26=25,IDF!H31,IF(C$26=10,IDF!F31,IF(C$26=5,IDF!D31,"invalid entry in C26")))))</f>
        <v>8.8833333333333334E-2</v>
      </c>
      <c r="D44" s="52">
        <f t="shared" si="4"/>
        <v>0</v>
      </c>
      <c r="E44" s="58">
        <f t="shared" si="0"/>
        <v>0</v>
      </c>
      <c r="F44" s="60">
        <f t="shared" si="1"/>
        <v>0</v>
      </c>
      <c r="G44" s="61">
        <f t="shared" si="5"/>
        <v>0</v>
      </c>
      <c r="H44" s="58">
        <f t="shared" si="6"/>
        <v>0</v>
      </c>
      <c r="I44" s="39">
        <f t="shared" si="2"/>
        <v>0</v>
      </c>
      <c r="J44" s="29"/>
    </row>
    <row r="45" spans="1:10">
      <c r="A45" s="42">
        <f>10*24*60</f>
        <v>14400</v>
      </c>
      <c r="B45" s="58">
        <f t="shared" si="3"/>
        <v>0</v>
      </c>
      <c r="C45" s="59">
        <f>IF(C$26=100,IDF!L32,IF(C$26=50,IDF!J32,IF(C$26=25,IDF!H32,IF(C$26=10,IDF!F32,IF(C$26=5,IDF!D32,"invalid entry in C26")))))</f>
        <v>5.2708333333333336E-2</v>
      </c>
      <c r="D45" s="52">
        <f t="shared" si="4"/>
        <v>0</v>
      </c>
      <c r="E45" s="58">
        <f t="shared" si="0"/>
        <v>0</v>
      </c>
      <c r="F45" s="60">
        <f t="shared" si="1"/>
        <v>0</v>
      </c>
      <c r="G45" s="61">
        <f t="shared" si="5"/>
        <v>0</v>
      </c>
      <c r="H45" s="58">
        <f t="shared" si="6"/>
        <v>0</v>
      </c>
      <c r="I45" s="39">
        <f t="shared" si="2"/>
        <v>0</v>
      </c>
      <c r="J45" s="29"/>
    </row>
    <row r="46" spans="1:10" ht="38.25">
      <c r="A46" s="53"/>
      <c r="B46" s="53"/>
      <c r="C46" s="53"/>
      <c r="D46" s="53"/>
      <c r="E46" s="53"/>
      <c r="F46" s="29"/>
      <c r="G46" s="53"/>
      <c r="H46" s="34" t="s">
        <v>537</v>
      </c>
      <c r="I46" s="39">
        <f>MAX(I31:I45)</f>
        <v>0</v>
      </c>
      <c r="J46" s="29"/>
    </row>
    <row r="47" spans="1:10">
      <c r="A47" s="53" t="s">
        <v>204</v>
      </c>
      <c r="B47" s="53"/>
      <c r="C47" s="53"/>
      <c r="D47" s="53"/>
      <c r="E47" s="53"/>
      <c r="F47" s="53"/>
      <c r="G47" s="53"/>
      <c r="H47" s="53"/>
      <c r="I47" s="62"/>
      <c r="J47" s="29"/>
    </row>
    <row r="48" spans="1:10">
      <c r="B48" s="53"/>
      <c r="C48" s="53"/>
      <c r="D48" s="53"/>
      <c r="E48" s="53"/>
      <c r="F48" s="53"/>
      <c r="G48" s="53"/>
      <c r="H48" s="53"/>
      <c r="I48" s="54"/>
      <c r="J48" s="29"/>
    </row>
  </sheetData>
  <mergeCells count="5">
    <mergeCell ref="D12:D13"/>
    <mergeCell ref="E12:E13"/>
    <mergeCell ref="F18:G18"/>
    <mergeCell ref="F19:G19"/>
    <mergeCell ref="F12:G13"/>
  </mergeCells>
  <phoneticPr fontId="0" type="noConversion"/>
  <conditionalFormatting sqref="D19">
    <cfRule type="cellIs" dxfId="7" priority="1" stopIfTrue="1" operator="greaterThan">
      <formula>$D$17</formula>
    </cfRule>
    <cfRule type="cellIs" dxfId="6" priority="2" stopIfTrue="1" operator="lessThan">
      <formula>$D$17</formula>
    </cfRule>
    <cfRule type="cellIs" dxfId="5" priority="3" stopIfTrue="1" operator="notEqual">
      <formula>$D$17</formula>
    </cfRule>
  </conditionalFormatting>
  <conditionalFormatting sqref="I31:I46">
    <cfRule type="cellIs" dxfId="4" priority="6" stopIfTrue="1" operator="equal">
      <formula>$I$46</formula>
    </cfRule>
  </conditionalFormatting>
  <pageMargins left="0.75" right="0.75" top="1" bottom="1" header="0.5" footer="0.5"/>
  <pageSetup scale="66" orientation="portrait" r:id="rId1"/>
  <headerFooter alignWithMargins="0">
    <oddFooter>&amp;L&amp;8City of Chicago
Dept. of Water Management&amp;C&amp;8Permit Application&amp;R&amp;8&amp;A
Page &amp;P</oddFooter>
  </headerFooter>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6"/>
  <sheetViews>
    <sheetView zoomScaleNormal="100" workbookViewId="0">
      <selection activeCell="B7" sqref="B7"/>
    </sheetView>
  </sheetViews>
  <sheetFormatPr defaultRowHeight="12.75"/>
  <cols>
    <col min="1" max="1" width="15.7109375" customWidth="1"/>
    <col min="2" max="2" width="36.85546875" customWidth="1"/>
    <col min="3" max="3" width="23.42578125" customWidth="1"/>
    <col min="4" max="4" width="22.5703125" customWidth="1"/>
  </cols>
  <sheetData>
    <row r="1" spans="1:7" ht="18">
      <c r="A1" s="104" t="s">
        <v>2</v>
      </c>
      <c r="B1" s="97"/>
      <c r="C1" s="97"/>
      <c r="D1" s="97"/>
      <c r="E1" s="97"/>
      <c r="F1" s="97"/>
      <c r="G1" s="97"/>
    </row>
    <row r="2" spans="1:7" ht="18">
      <c r="A2" s="104" t="s">
        <v>3</v>
      </c>
      <c r="B2" s="97"/>
      <c r="C2" s="97"/>
      <c r="D2" s="97"/>
      <c r="E2" s="97"/>
      <c r="F2" s="97"/>
      <c r="G2" s="97"/>
    </row>
    <row r="3" spans="1:7" ht="12.75" customHeight="1">
      <c r="A3" s="104"/>
      <c r="B3" s="97"/>
      <c r="C3" s="97"/>
      <c r="D3" s="97"/>
      <c r="E3" s="97"/>
      <c r="F3" s="97"/>
      <c r="G3" s="97"/>
    </row>
    <row r="4" spans="1:7" ht="12.75" customHeight="1">
      <c r="A4" t="s">
        <v>54</v>
      </c>
      <c r="B4" s="96" t="str">
        <f>IF(COVER!$D$15="","",COVER!$D$15)</f>
        <v/>
      </c>
      <c r="C4" s="97"/>
      <c r="D4" s="97"/>
      <c r="E4" s="97"/>
      <c r="F4" s="97"/>
      <c r="G4" s="97"/>
    </row>
    <row r="5" spans="1:7" ht="12.75" customHeight="1">
      <c r="A5" t="s">
        <v>55</v>
      </c>
      <c r="B5" s="119" t="str">
        <f>IF(COVER!$D$18="","",COVER!$D$18)</f>
        <v/>
      </c>
      <c r="C5" s="97"/>
      <c r="D5" s="97"/>
      <c r="E5" s="97"/>
      <c r="F5" s="97"/>
      <c r="G5" s="97"/>
    </row>
    <row r="6" spans="1:7" ht="12.75" customHeight="1">
      <c r="A6" t="s">
        <v>56</v>
      </c>
      <c r="B6" s="119" t="str">
        <f>IF(COVER!$F$21="","",COVER!$F$21)</f>
        <v/>
      </c>
      <c r="C6" s="97"/>
      <c r="D6" s="97"/>
      <c r="E6" s="97"/>
      <c r="F6" s="97"/>
      <c r="G6" s="97"/>
    </row>
    <row r="7" spans="1:7" ht="12.75" customHeight="1">
      <c r="B7" s="97"/>
      <c r="C7" s="97"/>
      <c r="D7" s="97"/>
      <c r="E7" s="97"/>
      <c r="F7" s="97"/>
      <c r="G7" s="97"/>
    </row>
    <row r="8" spans="1:7" ht="18">
      <c r="A8" s="104" t="s">
        <v>538</v>
      </c>
    </row>
    <row r="9" spans="1:7" ht="18">
      <c r="A9" s="104"/>
    </row>
    <row r="10" spans="1:7" ht="20.25">
      <c r="A10" s="1"/>
      <c r="B10" s="23" t="s">
        <v>539</v>
      </c>
    </row>
    <row r="11" spans="1:7">
      <c r="B11" s="23" t="s">
        <v>540</v>
      </c>
    </row>
    <row r="12" spans="1:7">
      <c r="B12" s="7" t="s">
        <v>541</v>
      </c>
    </row>
    <row r="14" spans="1:7" ht="25.5">
      <c r="B14" s="128" t="s">
        <v>316</v>
      </c>
      <c r="C14" s="43" t="s">
        <v>542</v>
      </c>
    </row>
    <row r="15" spans="1:7">
      <c r="B15" s="76" t="s">
        <v>258</v>
      </c>
      <c r="C15" s="194">
        <f>'2.1.1 Bioinfiltration'!E37</f>
        <v>0</v>
      </c>
    </row>
    <row r="16" spans="1:7">
      <c r="B16" s="76" t="s">
        <v>259</v>
      </c>
      <c r="C16" s="194">
        <f>'2.1.2 Swales'!E53</f>
        <v>0</v>
      </c>
    </row>
    <row r="17" spans="2:4">
      <c r="B17" s="76" t="s">
        <v>123</v>
      </c>
      <c r="C17" s="194" t="s">
        <v>268</v>
      </c>
    </row>
    <row r="18" spans="2:4">
      <c r="B18" s="27" t="s">
        <v>543</v>
      </c>
      <c r="C18" s="194">
        <f>'2.1.4 Infiltration Vault'!E35</f>
        <v>0</v>
      </c>
    </row>
    <row r="19" spans="2:4">
      <c r="B19" s="76" t="s">
        <v>544</v>
      </c>
      <c r="C19" s="194" t="s">
        <v>268</v>
      </c>
    </row>
    <row r="20" spans="2:4">
      <c r="B20" s="76" t="s">
        <v>265</v>
      </c>
      <c r="C20" s="194">
        <f>'2.1.6 Permeable Pavement'!E34</f>
        <v>0</v>
      </c>
    </row>
    <row r="21" spans="2:4">
      <c r="B21" s="76" t="s">
        <v>263</v>
      </c>
      <c r="C21" s="194">
        <f>'2.1.7.1 Roof Runoff Planters'!E37</f>
        <v>0</v>
      </c>
    </row>
    <row r="22" spans="2:4" ht="25.5">
      <c r="B22" s="79" t="s">
        <v>264</v>
      </c>
      <c r="C22" s="194">
        <f>'2.1.7.2 Roof Runoff Rain Barrel'!E34</f>
        <v>0</v>
      </c>
    </row>
    <row r="23" spans="2:4">
      <c r="B23" s="80" t="s">
        <v>545</v>
      </c>
      <c r="C23" s="194">
        <f>'2.1.8 Filter Strips'!E30</f>
        <v>0</v>
      </c>
    </row>
    <row r="24" spans="2:4">
      <c r="B24" s="81" t="s">
        <v>546</v>
      </c>
      <c r="C24" s="187">
        <f>SUM(C15:C23)</f>
        <v>0</v>
      </c>
      <c r="D24" s="207" t="str">
        <f>IF(C24&lt;C26,"Still Short", " ")</f>
        <v xml:space="preserve"> </v>
      </c>
    </row>
    <row r="26" spans="2:4" ht="38.25">
      <c r="B26" s="88" t="s">
        <v>547</v>
      </c>
      <c r="C26" s="187">
        <f>'2.0 VOLUME CONTROL'!C47</f>
        <v>0</v>
      </c>
    </row>
  </sheetData>
  <phoneticPr fontId="0" type="noConversion"/>
  <pageMargins left="0.73" right="0.75" top="0.73" bottom="1" header="0.5" footer="0.5"/>
  <pageSetup scale="92" orientation="portrait" verticalDpi="1200" r:id="rId1"/>
  <headerFooter alignWithMargins="0">
    <oddFooter>&amp;L&amp;8City of Chicago
Dept. of Water Management&amp;C&amp;8Permit Application
Volume Control BMP Summary&amp;R&amp;8&amp;A
Page &amp;P</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K52"/>
  <sheetViews>
    <sheetView showGridLines="0" zoomScaleNormal="100" workbookViewId="0">
      <selection activeCell="E9" sqref="E9"/>
    </sheetView>
  </sheetViews>
  <sheetFormatPr defaultRowHeight="12.75"/>
  <cols>
    <col min="1" max="2" width="4.28515625" customWidth="1"/>
    <col min="3" max="3" width="12.7109375" customWidth="1"/>
    <col min="4" max="4" width="2.85546875" customWidth="1"/>
    <col min="5" max="5" width="3.140625" customWidth="1"/>
    <col min="6" max="6" width="5" customWidth="1"/>
    <col min="7" max="7" width="42.7109375" customWidth="1"/>
    <col min="8" max="8" width="4.28515625" customWidth="1"/>
    <col min="9" max="9" width="2.85546875" customWidth="1"/>
    <col min="10" max="10" width="7.140625" customWidth="1"/>
  </cols>
  <sheetData>
    <row r="1" spans="1:11" ht="18">
      <c r="A1" s="379" t="s">
        <v>2</v>
      </c>
      <c r="B1" s="379"/>
      <c r="C1" s="379"/>
      <c r="D1" s="379"/>
      <c r="E1" s="379"/>
      <c r="F1" s="379"/>
      <c r="G1" s="379"/>
      <c r="H1" s="379"/>
      <c r="I1" s="97"/>
      <c r="J1" s="97"/>
      <c r="K1" s="97"/>
    </row>
    <row r="2" spans="1:11" ht="18">
      <c r="A2" s="379" t="s">
        <v>3</v>
      </c>
      <c r="B2" s="379"/>
      <c r="C2" s="379"/>
      <c r="D2" s="379"/>
      <c r="E2" s="379"/>
      <c r="F2" s="379"/>
      <c r="G2" s="379"/>
      <c r="H2" s="379"/>
      <c r="I2" s="97"/>
      <c r="J2" s="97"/>
      <c r="K2" s="97"/>
    </row>
    <row r="4" spans="1:11" ht="18">
      <c r="A4" s="379" t="s">
        <v>4</v>
      </c>
      <c r="B4" s="379"/>
      <c r="C4" s="379"/>
      <c r="D4" s="379"/>
      <c r="E4" s="379"/>
      <c r="F4" s="379"/>
      <c r="G4" s="379"/>
      <c r="H4" s="379"/>
      <c r="I4" s="97"/>
      <c r="J4" s="97"/>
      <c r="K4" s="97"/>
    </row>
    <row r="5" spans="1:11" ht="18">
      <c r="A5" s="97"/>
      <c r="B5" s="97"/>
      <c r="C5" s="97"/>
      <c r="D5" s="97"/>
      <c r="E5" s="97"/>
      <c r="F5" s="97"/>
      <c r="G5" s="97"/>
      <c r="H5" s="97"/>
      <c r="I5" s="97"/>
      <c r="J5" s="97"/>
      <c r="K5" s="97"/>
    </row>
    <row r="6" spans="1:11" ht="18" customHeight="1">
      <c r="A6" s="379" t="s">
        <v>29</v>
      </c>
      <c r="B6" s="379"/>
      <c r="C6" s="379"/>
      <c r="D6" s="379"/>
      <c r="E6" s="379"/>
      <c r="F6" s="379"/>
      <c r="G6" s="379"/>
      <c r="H6" s="379"/>
      <c r="I6" s="97"/>
      <c r="J6" s="97"/>
    </row>
    <row r="8" spans="1:11">
      <c r="B8" s="99"/>
      <c r="C8" s="100"/>
      <c r="D8" s="100"/>
      <c r="E8" s="100"/>
      <c r="F8" s="100"/>
      <c r="G8" s="100"/>
      <c r="H8" s="101"/>
    </row>
    <row r="9" spans="1:11">
      <c r="B9" s="16"/>
      <c r="C9" t="s">
        <v>30</v>
      </c>
      <c r="E9" s="83" t="s">
        <v>31</v>
      </c>
      <c r="G9" t="s">
        <v>32</v>
      </c>
      <c r="H9" s="102"/>
    </row>
    <row r="10" spans="1:11">
      <c r="B10" s="16"/>
      <c r="E10" s="98"/>
      <c r="H10" s="102"/>
    </row>
    <row r="11" spans="1:11">
      <c r="B11" s="16"/>
      <c r="C11" t="s">
        <v>30</v>
      </c>
      <c r="E11" s="83" t="s">
        <v>31</v>
      </c>
      <c r="G11" t="s">
        <v>33</v>
      </c>
      <c r="H11" s="102"/>
    </row>
    <row r="12" spans="1:11">
      <c r="B12" s="16"/>
      <c r="E12" s="98"/>
      <c r="H12" s="102"/>
    </row>
    <row r="13" spans="1:11">
      <c r="B13" s="16"/>
      <c r="E13" s="83"/>
      <c r="G13" t="s">
        <v>34</v>
      </c>
      <c r="H13" s="102"/>
    </row>
    <row r="14" spans="1:11">
      <c r="B14" s="16"/>
      <c r="E14" s="98"/>
      <c r="H14" s="102"/>
    </row>
    <row r="15" spans="1:11">
      <c r="B15" s="16"/>
      <c r="C15" t="s">
        <v>30</v>
      </c>
      <c r="E15" s="83" t="s">
        <v>31</v>
      </c>
      <c r="F15" s="162"/>
      <c r="G15" t="s">
        <v>35</v>
      </c>
      <c r="H15" s="102"/>
    </row>
    <row r="16" spans="1:11">
      <c r="B16" s="16"/>
      <c r="E16" s="98"/>
      <c r="H16" s="102"/>
    </row>
    <row r="17" spans="2:8">
      <c r="B17" s="16"/>
      <c r="E17" s="83"/>
      <c r="G17" s="176" t="s">
        <v>36</v>
      </c>
      <c r="H17" s="102"/>
    </row>
    <row r="18" spans="2:8">
      <c r="B18" s="16"/>
      <c r="E18" s="98"/>
      <c r="H18" s="102"/>
    </row>
    <row r="19" spans="2:8">
      <c r="B19" s="16"/>
      <c r="E19" s="83"/>
      <c r="G19" s="176" t="s">
        <v>37</v>
      </c>
      <c r="H19" s="102"/>
    </row>
    <row r="20" spans="2:8">
      <c r="B20" s="16"/>
      <c r="E20" s="98"/>
      <c r="H20" s="102"/>
    </row>
    <row r="21" spans="2:8">
      <c r="B21" s="16"/>
      <c r="E21" s="83" t="s">
        <v>31</v>
      </c>
      <c r="G21" s="329" t="s">
        <v>38</v>
      </c>
      <c r="H21" s="102"/>
    </row>
    <row r="22" spans="2:8">
      <c r="B22" s="16"/>
      <c r="E22" s="98"/>
      <c r="H22" s="102"/>
    </row>
    <row r="23" spans="2:8">
      <c r="B23" s="16"/>
      <c r="C23" t="s">
        <v>30</v>
      </c>
      <c r="E23" s="83" t="s">
        <v>31</v>
      </c>
      <c r="G23" s="7" t="s">
        <v>39</v>
      </c>
      <c r="H23" s="102"/>
    </row>
    <row r="24" spans="2:8">
      <c r="B24" s="16"/>
      <c r="E24" s="98"/>
      <c r="H24" s="102"/>
    </row>
    <row r="25" spans="2:8">
      <c r="B25" s="16"/>
      <c r="E25" s="83"/>
      <c r="G25" s="329" t="s">
        <v>40</v>
      </c>
      <c r="H25" s="102"/>
    </row>
    <row r="26" spans="2:8">
      <c r="B26" s="16"/>
      <c r="E26" s="98"/>
      <c r="H26" s="102"/>
    </row>
    <row r="27" spans="2:8">
      <c r="B27" s="16"/>
      <c r="E27" s="83"/>
      <c r="G27" s="177" t="s">
        <v>41</v>
      </c>
      <c r="H27" s="102"/>
    </row>
    <row r="28" spans="2:8">
      <c r="B28" s="16"/>
      <c r="E28" s="98"/>
      <c r="G28" s="176"/>
      <c r="H28" s="102"/>
    </row>
    <row r="29" spans="2:8">
      <c r="B29" s="16"/>
      <c r="E29" s="83"/>
      <c r="G29" s="177" t="s">
        <v>42</v>
      </c>
      <c r="H29" s="102"/>
    </row>
    <row r="30" spans="2:8">
      <c r="B30" s="16"/>
      <c r="E30" s="98"/>
      <c r="G30" s="177"/>
      <c r="H30" s="102"/>
    </row>
    <row r="31" spans="2:8">
      <c r="B31" s="16"/>
      <c r="E31" s="83"/>
      <c r="G31" s="177" t="s">
        <v>43</v>
      </c>
      <c r="H31" s="102"/>
    </row>
    <row r="32" spans="2:8">
      <c r="B32" s="16"/>
      <c r="E32" s="98"/>
      <c r="H32" s="102"/>
    </row>
    <row r="33" spans="2:8">
      <c r="B33" s="16"/>
      <c r="E33" s="83"/>
      <c r="G33" s="177" t="s">
        <v>44</v>
      </c>
      <c r="H33" s="102"/>
    </row>
    <row r="34" spans="2:8">
      <c r="B34" s="16"/>
      <c r="E34" s="98"/>
      <c r="H34" s="102"/>
    </row>
    <row r="35" spans="2:8">
      <c r="B35" s="16"/>
      <c r="E35" s="83"/>
      <c r="G35" s="177" t="s">
        <v>45</v>
      </c>
      <c r="H35" s="102"/>
    </row>
    <row r="36" spans="2:8">
      <c r="B36" s="16"/>
      <c r="E36" s="98"/>
      <c r="H36" s="102"/>
    </row>
    <row r="37" spans="2:8">
      <c r="B37" s="16"/>
      <c r="E37" s="83"/>
      <c r="G37" s="177" t="s">
        <v>46</v>
      </c>
      <c r="H37" s="102"/>
    </row>
    <row r="38" spans="2:8">
      <c r="B38" s="16"/>
      <c r="E38" s="98"/>
      <c r="H38" s="102"/>
    </row>
    <row r="39" spans="2:8">
      <c r="B39" s="16"/>
      <c r="E39" s="83"/>
      <c r="G39" s="177" t="s">
        <v>47</v>
      </c>
      <c r="H39" s="102"/>
    </row>
    <row r="40" spans="2:8">
      <c r="B40" s="16"/>
      <c r="E40" s="98"/>
      <c r="H40" s="102"/>
    </row>
    <row r="41" spans="2:8">
      <c r="B41" s="16"/>
      <c r="E41" s="83"/>
      <c r="G41" s="177" t="s">
        <v>48</v>
      </c>
      <c r="H41" s="102"/>
    </row>
    <row r="42" spans="2:8">
      <c r="B42" s="16"/>
      <c r="E42" s="98"/>
      <c r="H42" s="102"/>
    </row>
    <row r="43" spans="2:8">
      <c r="B43" s="16"/>
      <c r="E43" s="83"/>
      <c r="G43" s="177" t="s">
        <v>49</v>
      </c>
      <c r="H43" s="102"/>
    </row>
    <row r="44" spans="2:8">
      <c r="B44" s="16"/>
      <c r="E44" s="232"/>
      <c r="G44" s="177"/>
      <c r="H44" s="102"/>
    </row>
    <row r="45" spans="2:8">
      <c r="B45" s="16"/>
      <c r="E45" s="83"/>
      <c r="G45" s="329" t="s">
        <v>50</v>
      </c>
      <c r="H45" s="102"/>
    </row>
    <row r="46" spans="2:8">
      <c r="B46" s="16"/>
      <c r="E46" s="232"/>
      <c r="G46" s="176"/>
      <c r="H46" s="102"/>
    </row>
    <row r="47" spans="2:8">
      <c r="B47" s="16"/>
      <c r="E47" s="83"/>
      <c r="G47" s="7" t="s">
        <v>51</v>
      </c>
      <c r="H47" s="102"/>
    </row>
    <row r="48" spans="2:8">
      <c r="B48" s="16"/>
      <c r="E48" s="232"/>
      <c r="G48" s="176"/>
      <c r="H48" s="102"/>
    </row>
    <row r="49" spans="2:8">
      <c r="B49" s="16"/>
      <c r="E49" s="83"/>
      <c r="G49" s="329" t="s">
        <v>52</v>
      </c>
      <c r="H49" s="102"/>
    </row>
    <row r="50" spans="2:8">
      <c r="B50" s="16"/>
      <c r="E50" s="232"/>
      <c r="G50" s="176"/>
      <c r="H50" s="102"/>
    </row>
    <row r="51" spans="2:8">
      <c r="B51" s="16"/>
      <c r="E51" s="83"/>
      <c r="G51" s="329" t="s">
        <v>53</v>
      </c>
      <c r="H51" s="102"/>
    </row>
    <row r="52" spans="2:8">
      <c r="B52" s="17"/>
      <c r="C52" s="95"/>
      <c r="D52" s="95"/>
      <c r="E52" s="95"/>
      <c r="F52" s="95"/>
      <c r="G52" s="95"/>
      <c r="H52" s="103"/>
    </row>
  </sheetData>
  <mergeCells count="4">
    <mergeCell ref="A6:H6"/>
    <mergeCell ref="A4:H4"/>
    <mergeCell ref="A2:H2"/>
    <mergeCell ref="A1:H1"/>
  </mergeCells>
  <phoneticPr fontId="0" type="noConversion"/>
  <printOptions horizontalCentered="1"/>
  <pageMargins left="0.75" right="0.75" top="1" bottom="1" header="0.5" footer="0.5"/>
  <pageSetup scale="94" orientation="portrait" r:id="rId1"/>
  <headerFooter alignWithMargins="0">
    <oddFooter>&amp;L&amp;8City of Chicago
Dept. of Water Management&amp;C&amp;8Permit Application&amp;R&amp;8&amp;A
Page 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H28"/>
  <sheetViews>
    <sheetView zoomScaleNormal="100" workbookViewId="0">
      <selection activeCell="B22" sqref="B22"/>
    </sheetView>
  </sheetViews>
  <sheetFormatPr defaultRowHeight="12.75"/>
  <cols>
    <col min="1" max="1" width="14.140625" customWidth="1"/>
    <col min="2" max="2" width="10.85546875" customWidth="1"/>
    <col min="3" max="3" width="39" customWidth="1"/>
    <col min="4" max="4" width="8.5703125" customWidth="1"/>
    <col min="5" max="5" width="37.5703125" customWidth="1"/>
    <col min="6" max="6" width="21.140625" customWidth="1"/>
    <col min="7" max="7" width="11" customWidth="1"/>
    <col min="8" max="8" width="9.140625" hidden="1" customWidth="1"/>
  </cols>
  <sheetData>
    <row r="1" spans="1:7" ht="18">
      <c r="A1" s="104" t="s">
        <v>2</v>
      </c>
      <c r="B1" s="97"/>
      <c r="D1" s="97"/>
      <c r="E1" s="97"/>
      <c r="F1" s="97"/>
      <c r="G1" s="97"/>
    </row>
    <row r="2" spans="1:7" ht="18">
      <c r="A2" s="104" t="s">
        <v>3</v>
      </c>
      <c r="B2" s="97"/>
      <c r="D2" s="97"/>
      <c r="E2" s="97"/>
      <c r="F2" s="97"/>
      <c r="G2" s="97"/>
    </row>
    <row r="3" spans="1:7" ht="12.75" customHeight="1">
      <c r="A3" s="104"/>
      <c r="B3" s="97"/>
      <c r="D3" s="97"/>
      <c r="E3" s="97"/>
      <c r="F3" s="97"/>
      <c r="G3" s="97"/>
    </row>
    <row r="4" spans="1:7" ht="12.75" customHeight="1">
      <c r="A4" t="s">
        <v>54</v>
      </c>
      <c r="B4" s="96" t="str">
        <f>IF(COVER!$D$15="","",COVER!$D$15)</f>
        <v/>
      </c>
      <c r="C4" s="95"/>
      <c r="D4" s="97"/>
      <c r="E4" s="97"/>
      <c r="F4" s="97"/>
      <c r="G4" s="97"/>
    </row>
    <row r="5" spans="1:7" ht="12.75" customHeight="1">
      <c r="A5" t="s">
        <v>55</v>
      </c>
      <c r="B5" s="119" t="str">
        <f>IF(COVER!$D$18="","",COVER!$D$18)</f>
        <v/>
      </c>
      <c r="C5" s="95"/>
      <c r="D5" s="97"/>
      <c r="E5" s="97"/>
      <c r="F5" s="97"/>
      <c r="G5" s="97"/>
    </row>
    <row r="6" spans="1:7" ht="12.75" customHeight="1">
      <c r="A6" t="s">
        <v>56</v>
      </c>
      <c r="B6" s="119" t="str">
        <f>IF(COVER!$F$21="","",COVER!$F$21)</f>
        <v/>
      </c>
      <c r="C6" s="95"/>
      <c r="D6" s="97"/>
      <c r="E6" s="97"/>
      <c r="F6" s="97"/>
      <c r="G6" s="97"/>
    </row>
    <row r="7" spans="1:7" ht="11.25" customHeight="1">
      <c r="A7" s="1"/>
    </row>
    <row r="8" spans="1:7" ht="18">
      <c r="A8" s="104" t="s">
        <v>548</v>
      </c>
      <c r="B8" s="23"/>
      <c r="D8" s="23"/>
    </row>
    <row r="9" spans="1:7" ht="11.25" customHeight="1">
      <c r="B9" s="104"/>
      <c r="C9" s="23"/>
      <c r="D9" s="23"/>
    </row>
    <row r="10" spans="1:7">
      <c r="A10" s="23" t="s">
        <v>549</v>
      </c>
      <c r="D10" s="23"/>
    </row>
    <row r="11" spans="1:7">
      <c r="A11" s="23"/>
      <c r="D11" s="23"/>
    </row>
    <row r="12" spans="1:7">
      <c r="A12" s="23" t="s">
        <v>244</v>
      </c>
      <c r="D12" s="23"/>
    </row>
    <row r="13" spans="1:7">
      <c r="A13" s="7" t="s">
        <v>550</v>
      </c>
      <c r="D13" s="23"/>
    </row>
    <row r="14" spans="1:7">
      <c r="A14" s="7" t="s">
        <v>551</v>
      </c>
      <c r="D14" s="23"/>
    </row>
    <row r="15" spans="1:7">
      <c r="A15" s="7" t="s">
        <v>552</v>
      </c>
      <c r="D15" s="23"/>
    </row>
    <row r="16" spans="1:7">
      <c r="A16" s="7" t="s">
        <v>553</v>
      </c>
      <c r="D16" s="23"/>
    </row>
    <row r="17" spans="1:8">
      <c r="A17" s="7"/>
      <c r="D17" s="23"/>
    </row>
    <row r="18" spans="1:8">
      <c r="A18" s="7" t="s">
        <v>554</v>
      </c>
      <c r="D18" s="23"/>
    </row>
    <row r="19" spans="1:8">
      <c r="A19" s="161"/>
      <c r="B19" s="98"/>
    </row>
    <row r="20" spans="1:8" ht="12.75" customHeight="1">
      <c r="A20" s="161"/>
      <c r="B20" s="503" t="s">
        <v>555</v>
      </c>
      <c r="C20" s="396" t="s">
        <v>556</v>
      </c>
      <c r="D20" s="442" t="s">
        <v>557</v>
      </c>
      <c r="E20" s="442" t="s">
        <v>558</v>
      </c>
      <c r="F20" s="442" t="s">
        <v>559</v>
      </c>
      <c r="G20" s="442" t="s">
        <v>560</v>
      </c>
    </row>
    <row r="21" spans="1:8" ht="29.25" customHeight="1">
      <c r="A21" s="161"/>
      <c r="B21" s="504"/>
      <c r="C21" s="397"/>
      <c r="D21" s="442"/>
      <c r="E21" s="442"/>
      <c r="F21" s="442"/>
      <c r="G21" s="442"/>
    </row>
    <row r="22" spans="1:8" ht="163.5" customHeight="1">
      <c r="A22" s="161" t="str">
        <f>IF(H28&gt;1,"Error: Strategies 3.1, 3.2, 3.3 and 3.5 are mutually exclusive.  You cannot attempt points for more than one of these strategies.","")</f>
        <v/>
      </c>
      <c r="B22" s="338"/>
      <c r="C22" s="336" t="s">
        <v>561</v>
      </c>
      <c r="D22" s="332">
        <v>10</v>
      </c>
      <c r="E22" s="331" t="s">
        <v>562</v>
      </c>
      <c r="F22" s="339" t="str">
        <f>IF(B22="Yes","Complete Tab 1.0, Tab 2.0, Tab 3.1, Tab 3.2 and other tabs as necessary.","")</f>
        <v/>
      </c>
      <c r="G22" s="334" t="str">
        <f t="shared" ref="G22:G27" si="0">IF(B22="Yes",D22,"")</f>
        <v/>
      </c>
      <c r="H22">
        <f>IF(B22="Yes",1,0)</f>
        <v>0</v>
      </c>
    </row>
    <row r="23" spans="1:8" ht="162" customHeight="1">
      <c r="A23" s="161"/>
      <c r="B23" s="338"/>
      <c r="C23" s="336" t="s">
        <v>563</v>
      </c>
      <c r="D23" s="332">
        <v>20</v>
      </c>
      <c r="E23" s="331" t="s">
        <v>564</v>
      </c>
      <c r="F23" s="339" t="str">
        <f>IF(B23="Yes","Complete Tab 1.0, Tab 2.0, Tab 3.1, Tab 3.2 and other tabs as necessary.","")</f>
        <v/>
      </c>
      <c r="G23" s="334" t="str">
        <f t="shared" si="0"/>
        <v/>
      </c>
      <c r="H23">
        <f>IF(B23="Yes",1,0)</f>
        <v>0</v>
      </c>
    </row>
    <row r="24" spans="1:8" ht="133.5" customHeight="1">
      <c r="A24" s="161"/>
      <c r="B24" s="338"/>
      <c r="C24" s="336" t="s">
        <v>565</v>
      </c>
      <c r="D24" s="333">
        <v>40</v>
      </c>
      <c r="E24" s="331" t="s">
        <v>566</v>
      </c>
      <c r="F24" s="339" t="str">
        <f>IF(B24="Yes","Complete Tab 1.0, Tab 2.0 and other tabs as necessary to demonstrate that the site manages stormwater by discharging 100% of its stormwater into the ground through infiltration or through a combination of infiltration and stormwater capture and re-use.","")</f>
        <v/>
      </c>
      <c r="G24" s="334" t="str">
        <f t="shared" si="0"/>
        <v/>
      </c>
      <c r="H24">
        <f>IF(B24="Yes",1,0)</f>
        <v>0</v>
      </c>
    </row>
    <row r="25" spans="1:8" ht="108.75" customHeight="1">
      <c r="A25" s="161"/>
      <c r="B25" s="338"/>
      <c r="C25" s="336" t="s">
        <v>567</v>
      </c>
      <c r="D25" s="332">
        <v>5</v>
      </c>
      <c r="E25" s="331" t="s">
        <v>568</v>
      </c>
      <c r="F25" s="339" t="str">
        <f>IF(B25="Yes","The plans must clearly show the building sump pump(s) discharging to the stormwater capture and reuse system or the detention system.  Add a narrative to the stormwater calculations describing how the system functions.","")</f>
        <v/>
      </c>
      <c r="G25" s="334" t="str">
        <f t="shared" si="0"/>
        <v/>
      </c>
    </row>
    <row r="26" spans="1:8" ht="47.25" customHeight="1">
      <c r="A26" s="161"/>
      <c r="B26" s="338"/>
      <c r="C26" s="337" t="s">
        <v>569</v>
      </c>
      <c r="D26" s="333">
        <v>5</v>
      </c>
      <c r="E26" s="331" t="s">
        <v>570</v>
      </c>
      <c r="F26" s="339" t="str">
        <f>IF(B26="Yes","Complete Tab 1.0 for the 100-year storm instead of the 10-year storm.","")</f>
        <v/>
      </c>
      <c r="G26" s="334" t="str">
        <f t="shared" si="0"/>
        <v/>
      </c>
      <c r="H26">
        <f>IF(B26="Yes",1,0)</f>
        <v>0</v>
      </c>
    </row>
    <row r="27" spans="1:8" ht="93" customHeight="1">
      <c r="A27" s="161"/>
      <c r="B27" s="338"/>
      <c r="C27" s="337" t="s">
        <v>571</v>
      </c>
      <c r="D27" s="332">
        <v>5</v>
      </c>
      <c r="E27" s="331" t="s">
        <v>572</v>
      </c>
      <c r="F27" s="339" t="str">
        <f>IF(B27="Yes","Complete Tab 1.0 for the following 3 scenerios:  1) 100-year storm for disturbed area, 2) 25-year storm for disturbed area plus upstream tributary and 3) 100-year storm for disturbed area plus upstream tributary.","")</f>
        <v/>
      </c>
      <c r="G27" s="334" t="str">
        <f t="shared" si="0"/>
        <v/>
      </c>
    </row>
    <row r="28" spans="1:8" ht="25.5" customHeight="1">
      <c r="C28" s="23"/>
      <c r="D28" s="330"/>
      <c r="E28" s="330"/>
      <c r="F28" s="340" t="s">
        <v>573</v>
      </c>
      <c r="G28" s="335">
        <f>SUM(G22:G27)</f>
        <v>0</v>
      </c>
      <c r="H28">
        <f>SUM(H22:H24)+H26</f>
        <v>0</v>
      </c>
    </row>
  </sheetData>
  <mergeCells count="6">
    <mergeCell ref="G20:G21"/>
    <mergeCell ref="B20:B21"/>
    <mergeCell ref="C20:C21"/>
    <mergeCell ref="D20:D21"/>
    <mergeCell ref="E20:E21"/>
    <mergeCell ref="F20:F21"/>
  </mergeCells>
  <pageMargins left="0.73" right="0.75" top="0.73" bottom="1" header="0.5" footer="0.5"/>
  <pageSetup scale="64" firstPageNumber="5" orientation="portrait" r:id="rId1"/>
  <headerFooter alignWithMargins="0">
    <oddFooter>&amp;L&amp;8City of Chicago
Dept. of Water Management&amp;C&amp;8Permit Application&amp;R&amp;8&amp;A
Page &amp;P</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J48"/>
  <sheetViews>
    <sheetView showGridLines="0" zoomScaleNormal="100" workbookViewId="0">
      <selection activeCell="D18" sqref="D18"/>
    </sheetView>
  </sheetViews>
  <sheetFormatPr defaultRowHeight="12.75"/>
  <cols>
    <col min="1" max="1" width="14.7109375" customWidth="1"/>
    <col min="2" max="2" width="16.140625" customWidth="1"/>
    <col min="3" max="3" width="25.42578125" customWidth="1"/>
    <col min="4" max="9" width="15.85546875" customWidth="1"/>
  </cols>
  <sheetData>
    <row r="1" spans="1:9" ht="18">
      <c r="A1" s="104" t="s">
        <v>2</v>
      </c>
      <c r="B1" s="97"/>
      <c r="C1" s="97"/>
      <c r="D1" s="97"/>
      <c r="E1" s="97"/>
      <c r="F1" s="97"/>
      <c r="G1" s="97"/>
    </row>
    <row r="2" spans="1:9" ht="18">
      <c r="A2" s="104" t="s">
        <v>3</v>
      </c>
      <c r="B2" s="97"/>
      <c r="C2" s="97"/>
      <c r="D2" s="97"/>
      <c r="E2" s="97"/>
      <c r="F2" s="97"/>
      <c r="G2" s="97"/>
    </row>
    <row r="3" spans="1:9" ht="12.75" customHeight="1">
      <c r="A3" s="104"/>
      <c r="B3" s="97"/>
      <c r="C3" s="97"/>
      <c r="D3" s="97"/>
      <c r="E3" s="97"/>
      <c r="F3" s="97"/>
      <c r="G3" s="97"/>
    </row>
    <row r="4" spans="1:9" ht="12.75" customHeight="1">
      <c r="A4" t="s">
        <v>54</v>
      </c>
      <c r="B4" s="96" t="str">
        <f>IF(COVER!$D$15="","",COVER!$D$15)</f>
        <v/>
      </c>
      <c r="C4" s="118"/>
      <c r="D4" s="97"/>
      <c r="E4" s="97"/>
      <c r="F4" s="97"/>
      <c r="G4" s="97"/>
    </row>
    <row r="5" spans="1:9" ht="12.75" customHeight="1">
      <c r="A5" t="s">
        <v>55</v>
      </c>
      <c r="B5" s="119" t="str">
        <f>IF(COVER!$D$18="","",COVER!$D$18)</f>
        <v/>
      </c>
      <c r="C5" s="120"/>
      <c r="D5" s="97"/>
      <c r="E5" s="97"/>
      <c r="F5" s="97"/>
      <c r="G5" s="97"/>
    </row>
    <row r="6" spans="1:9" ht="12.75" customHeight="1">
      <c r="A6" t="s">
        <v>56</v>
      </c>
      <c r="B6" s="119" t="str">
        <f>IF(COVER!$F$21="","",COVER!$F$21)</f>
        <v/>
      </c>
      <c r="C6" s="120"/>
      <c r="D6" s="97"/>
      <c r="E6" s="97"/>
      <c r="F6" s="97"/>
      <c r="G6" s="97"/>
    </row>
    <row r="7" spans="1:9" ht="12.75" customHeight="1">
      <c r="B7" s="91"/>
      <c r="C7" s="97"/>
      <c r="D7" s="97"/>
      <c r="E7" s="97"/>
      <c r="F7" s="97"/>
      <c r="G7" s="97"/>
    </row>
    <row r="8" spans="1:9" ht="18">
      <c r="A8" s="104" t="s">
        <v>52</v>
      </c>
    </row>
    <row r="9" spans="1:9">
      <c r="A9" s="6" t="s">
        <v>574</v>
      </c>
      <c r="C9" s="3"/>
      <c r="D9" s="3"/>
      <c r="E9" s="3"/>
      <c r="F9" s="5"/>
      <c r="G9" s="5"/>
      <c r="H9" s="5"/>
    </row>
    <row r="10" spans="1:9">
      <c r="A10" s="316"/>
      <c r="B10" s="7"/>
      <c r="C10" s="6"/>
      <c r="D10" s="6"/>
      <c r="E10" s="6"/>
      <c r="F10" s="6"/>
      <c r="G10" s="6"/>
      <c r="H10" s="6"/>
      <c r="I10" s="7"/>
    </row>
    <row r="11" spans="1:9">
      <c r="A11" s="6"/>
      <c r="C11" s="6"/>
      <c r="D11" s="18"/>
      <c r="E11" s="19"/>
      <c r="H11" s="6"/>
      <c r="I11" s="7"/>
    </row>
    <row r="12" spans="1:9">
      <c r="A12" s="21" t="s">
        <v>107</v>
      </c>
      <c r="B12" s="22" t="s">
        <v>575</v>
      </c>
      <c r="C12" s="7"/>
      <c r="D12" s="495"/>
      <c r="E12" s="497" t="s">
        <v>528</v>
      </c>
      <c r="F12" s="462" t="s">
        <v>148</v>
      </c>
      <c r="G12" s="462"/>
      <c r="H12" s="6"/>
      <c r="I12" s="7"/>
    </row>
    <row r="13" spans="1:9">
      <c r="A13" s="6"/>
      <c r="B13" s="15"/>
      <c r="C13" s="6"/>
      <c r="D13" s="496"/>
      <c r="E13" s="498"/>
      <c r="F13" s="462"/>
      <c r="G13" s="462"/>
      <c r="H13" s="6"/>
      <c r="I13" s="7"/>
    </row>
    <row r="14" spans="1:9" ht="51">
      <c r="A14" s="2"/>
      <c r="B14" s="24"/>
      <c r="C14" s="27" t="s">
        <v>576</v>
      </c>
      <c r="D14" s="326">
        <f>'1.0 RATE CONTROL'!G72</f>
        <v>0</v>
      </c>
      <c r="E14" s="36" t="s">
        <v>168</v>
      </c>
      <c r="F14" s="122"/>
      <c r="G14" s="123"/>
      <c r="H14" s="2"/>
    </row>
    <row r="15" spans="1:9" ht="25.5" customHeight="1">
      <c r="A15" s="2"/>
      <c r="B15" s="24"/>
      <c r="C15" s="27" t="s">
        <v>577</v>
      </c>
      <c r="D15" s="183">
        <f>'1.0 RATE CONTROL'!C67</f>
        <v>0</v>
      </c>
      <c r="E15" s="36" t="s">
        <v>173</v>
      </c>
      <c r="F15" s="124"/>
      <c r="G15" s="125"/>
      <c r="H15" s="2"/>
    </row>
    <row r="16" spans="1:9" ht="23.25" customHeight="1">
      <c r="A16" s="2"/>
      <c r="B16" s="24"/>
      <c r="C16" s="27" t="s">
        <v>578</v>
      </c>
      <c r="D16" s="183" t="str">
        <f>IF('3.0 Sustainable Development'!H28&gt;1,"Error",IF('3.0 Sustainable Development'!B22="Yes",25,IF('3.0 Sustainable Development'!B23="Yes",50,"")))</f>
        <v/>
      </c>
      <c r="E16" s="36" t="s">
        <v>343</v>
      </c>
      <c r="F16" s="505" t="str">
        <f>IF(D16="Error","Correct error in Tab 3.0","")</f>
        <v/>
      </c>
      <c r="G16" s="506"/>
      <c r="H16" s="2"/>
    </row>
    <row r="17" spans="1:10" ht="38.25">
      <c r="A17" s="2"/>
      <c r="B17" s="2"/>
      <c r="C17" s="27" t="s">
        <v>579</v>
      </c>
      <c r="D17" s="183" t="str">
        <f>IF(D16="","",D15*(1+(D16/100)))</f>
        <v/>
      </c>
      <c r="E17" s="36" t="s">
        <v>173</v>
      </c>
      <c r="F17" s="126"/>
      <c r="G17" s="127"/>
      <c r="H17" s="2"/>
    </row>
    <row r="18" spans="1:10" ht="51">
      <c r="A18" s="2"/>
      <c r="B18" s="2"/>
      <c r="C18" s="27" t="s">
        <v>533</v>
      </c>
      <c r="D18" s="314"/>
      <c r="E18" s="36" t="s">
        <v>168</v>
      </c>
      <c r="F18" s="499" t="str">
        <f>IF(D18="","","Complete Tab 1.3 Restrictor Sizing")</f>
        <v/>
      </c>
      <c r="G18" s="500"/>
      <c r="H18" s="2"/>
    </row>
    <row r="19" spans="1:10">
      <c r="A19" s="2"/>
      <c r="B19" s="2"/>
      <c r="C19" s="27" t="s">
        <v>534</v>
      </c>
      <c r="D19" s="190" t="str">
        <f>IF(D18="","",I46)</f>
        <v/>
      </c>
      <c r="E19" s="68" t="s">
        <v>173</v>
      </c>
      <c r="F19" s="501" t="str">
        <f>IF(D18="","",IF(D19&lt;D17,"Exceed detention not achieved",IF(D19&gt;D17,"Exceed detention achieved"," ")))</f>
        <v/>
      </c>
      <c r="G19" s="501"/>
      <c r="H19" s="2"/>
    </row>
    <row r="20" spans="1:10">
      <c r="A20" s="2"/>
      <c r="B20" s="2"/>
      <c r="C20" s="71"/>
      <c r="D20" s="38"/>
      <c r="E20" s="69"/>
      <c r="F20" s="2"/>
      <c r="G20" s="2"/>
      <c r="H20" s="2"/>
    </row>
    <row r="21" spans="1:10">
      <c r="A21" s="2"/>
      <c r="B21" s="2"/>
      <c r="C21" s="71"/>
      <c r="D21" s="38"/>
      <c r="E21" s="69"/>
      <c r="F21" s="2"/>
      <c r="G21" s="2"/>
      <c r="H21" s="2"/>
    </row>
    <row r="22" spans="1:10">
      <c r="A22" s="2"/>
      <c r="B22" s="2"/>
      <c r="C22" s="7"/>
      <c r="D22" s="38"/>
      <c r="E22" s="7"/>
      <c r="F22" s="2"/>
      <c r="G22" s="2"/>
      <c r="H22" s="2"/>
    </row>
    <row r="23" spans="1:10" ht="17.25" customHeight="1">
      <c r="A23" s="30" t="s">
        <v>580</v>
      </c>
      <c r="B23" s="53"/>
      <c r="C23" s="53"/>
      <c r="D23" s="53"/>
      <c r="E23" s="53"/>
      <c r="F23" s="53"/>
      <c r="G23" s="53"/>
      <c r="H23" s="53"/>
      <c r="I23" s="54"/>
      <c r="J23" s="29"/>
    </row>
    <row r="24" spans="1:10">
      <c r="A24" s="7" t="s">
        <v>175</v>
      </c>
      <c r="B24" s="31"/>
      <c r="C24" s="31"/>
      <c r="D24" s="33"/>
      <c r="E24" s="53"/>
      <c r="F24" s="31"/>
      <c r="G24" s="31"/>
      <c r="H24" s="31"/>
      <c r="I24" s="32"/>
      <c r="J24" s="29"/>
    </row>
    <row r="25" spans="1:10" ht="13.5" thickBot="1">
      <c r="A25" s="31"/>
      <c r="B25" s="31"/>
      <c r="C25" s="45" t="s">
        <v>176</v>
      </c>
      <c r="D25" s="33"/>
      <c r="E25" s="31"/>
      <c r="F25" s="31"/>
      <c r="G25" s="31"/>
      <c r="H25" s="31"/>
      <c r="I25" s="32"/>
      <c r="J25" s="29"/>
    </row>
    <row r="26" spans="1:10" ht="29.25" customHeight="1" thickTop="1" thickBot="1">
      <c r="A26" s="53"/>
      <c r="B26" s="53"/>
      <c r="C26" s="345">
        <v>100</v>
      </c>
      <c r="D26" s="53"/>
      <c r="E26" s="55"/>
      <c r="F26" s="56"/>
      <c r="G26" s="72">
        <f>IF(D18="",0,D18)</f>
        <v>0</v>
      </c>
      <c r="H26" s="57" t="s">
        <v>168</v>
      </c>
      <c r="I26" s="54"/>
      <c r="J26" s="29"/>
    </row>
    <row r="27" spans="1:10" ht="13.5" thickTop="1">
      <c r="A27" s="49"/>
      <c r="B27" s="49"/>
      <c r="C27" s="49"/>
      <c r="D27" s="49" t="s">
        <v>184</v>
      </c>
      <c r="E27" s="50" t="s">
        <v>536</v>
      </c>
      <c r="F27" s="50"/>
      <c r="G27" s="50" t="s">
        <v>179</v>
      </c>
      <c r="H27" s="50" t="s">
        <v>180</v>
      </c>
      <c r="I27" s="49" t="s">
        <v>180</v>
      </c>
      <c r="J27" s="29"/>
    </row>
    <row r="28" spans="1:10">
      <c r="A28" s="50" t="s">
        <v>181</v>
      </c>
      <c r="B28" s="50" t="s">
        <v>182</v>
      </c>
      <c r="C28" s="50" t="s">
        <v>183</v>
      </c>
      <c r="D28" s="50" t="s">
        <v>581</v>
      </c>
      <c r="E28" s="50" t="s">
        <v>185</v>
      </c>
      <c r="F28" s="50" t="s">
        <v>186</v>
      </c>
      <c r="G28" s="50" t="s">
        <v>185</v>
      </c>
      <c r="H28" s="50" t="s">
        <v>185</v>
      </c>
      <c r="I28" s="50" t="s">
        <v>187</v>
      </c>
      <c r="J28" s="29"/>
    </row>
    <row r="29" spans="1:10">
      <c r="A29" s="50" t="s">
        <v>188</v>
      </c>
      <c r="B29" s="50" t="s">
        <v>189</v>
      </c>
      <c r="C29" s="50" t="s">
        <v>190</v>
      </c>
      <c r="D29" s="50" t="s">
        <v>582</v>
      </c>
      <c r="E29" s="50" t="s">
        <v>192</v>
      </c>
      <c r="F29" s="50" t="s">
        <v>193</v>
      </c>
      <c r="G29" s="50" t="s">
        <v>194</v>
      </c>
      <c r="H29" s="50" t="s">
        <v>195</v>
      </c>
      <c r="I29" s="50" t="s">
        <v>196</v>
      </c>
      <c r="J29" s="29"/>
    </row>
    <row r="30" spans="1:10">
      <c r="A30" s="51" t="s">
        <v>583</v>
      </c>
      <c r="B30" s="51" t="s">
        <v>198</v>
      </c>
      <c r="C30" s="51" t="s">
        <v>199</v>
      </c>
      <c r="D30" s="51" t="s">
        <v>200</v>
      </c>
      <c r="E30" s="51" t="s">
        <v>201</v>
      </c>
      <c r="F30" s="51" t="s">
        <v>202</v>
      </c>
      <c r="G30" s="51" t="s">
        <v>201</v>
      </c>
      <c r="H30" s="51" t="s">
        <v>201</v>
      </c>
      <c r="I30" s="51" t="s">
        <v>202</v>
      </c>
      <c r="J30" s="29"/>
    </row>
    <row r="31" spans="1:10">
      <c r="A31" s="42">
        <v>5</v>
      </c>
      <c r="B31" s="58">
        <f>'1.0 RATE CONTROL'!B77</f>
        <v>0</v>
      </c>
      <c r="C31" s="59">
        <f>IF(C$26=100,IDF!L18,IF(C$26=50,IDF!J18,IF(C$26=25,IDF!H18,IF(C$26=10,IDF!F18,IF(C$26=5,IDF!D18,"invalid entry in C26")))))</f>
        <v>12.36</v>
      </c>
      <c r="D31" s="58">
        <f>'1.0 RATE CONTROL'!D77</f>
        <v>0</v>
      </c>
      <c r="E31" s="58">
        <f t="shared" ref="E31:E45" si="0">B31*C31*D31</f>
        <v>0</v>
      </c>
      <c r="F31" s="60">
        <f t="shared" ref="F31:F45" si="1">A31*E31*60</f>
        <v>0</v>
      </c>
      <c r="G31" s="61">
        <f>G26</f>
        <v>0</v>
      </c>
      <c r="H31" s="58">
        <f>E31-G31</f>
        <v>0</v>
      </c>
      <c r="I31" s="39">
        <f t="shared" ref="I31:I45" si="2">H31*A31*60</f>
        <v>0</v>
      </c>
      <c r="J31" s="29"/>
    </row>
    <row r="32" spans="1:10">
      <c r="A32" s="42">
        <v>10</v>
      </c>
      <c r="B32" s="58">
        <f t="shared" ref="B32:B45" si="3">B31</f>
        <v>0</v>
      </c>
      <c r="C32" s="59">
        <f>IF(C$26=100,IDF!L19,IF(C$26=50,IDF!J19,IF(C$26=25,IDF!H19,IF(C$26=10,IDF!F19,IF(C$26=5,IDF!D19,"invalid entry in C26")))))</f>
        <v>10.8</v>
      </c>
      <c r="D32" s="52">
        <f t="shared" ref="D32:D45" si="4">D31</f>
        <v>0</v>
      </c>
      <c r="E32" s="58">
        <f t="shared" si="0"/>
        <v>0</v>
      </c>
      <c r="F32" s="60">
        <f t="shared" si="1"/>
        <v>0</v>
      </c>
      <c r="G32" s="61">
        <f t="shared" ref="G32:G45" si="5">G31</f>
        <v>0</v>
      </c>
      <c r="H32" s="58">
        <f t="shared" ref="H32:H45" si="6">E32-G32</f>
        <v>0</v>
      </c>
      <c r="I32" s="39">
        <f t="shared" si="2"/>
        <v>0</v>
      </c>
      <c r="J32" s="29"/>
    </row>
    <row r="33" spans="1:10">
      <c r="A33" s="42">
        <v>15</v>
      </c>
      <c r="B33" s="58">
        <f t="shared" si="3"/>
        <v>0</v>
      </c>
      <c r="C33" s="59">
        <f>IF(C$26=100,IDF!L20,IF(C$26=50,IDF!J20,IF(C$26=25,IDF!H20,IF(C$26=10,IDF!F20,IF(C$26=5,IDF!D20,"invalid entry in C26")))))</f>
        <v>9.2799999999999994</v>
      </c>
      <c r="D33" s="52">
        <f t="shared" si="4"/>
        <v>0</v>
      </c>
      <c r="E33" s="58">
        <f t="shared" si="0"/>
        <v>0</v>
      </c>
      <c r="F33" s="60">
        <f t="shared" si="1"/>
        <v>0</v>
      </c>
      <c r="G33" s="61">
        <f t="shared" si="5"/>
        <v>0</v>
      </c>
      <c r="H33" s="58">
        <f t="shared" si="6"/>
        <v>0</v>
      </c>
      <c r="I33" s="39">
        <f t="shared" si="2"/>
        <v>0</v>
      </c>
      <c r="J33" s="29"/>
    </row>
    <row r="34" spans="1:10">
      <c r="A34" s="42">
        <v>30</v>
      </c>
      <c r="B34" s="58">
        <f t="shared" si="3"/>
        <v>0</v>
      </c>
      <c r="C34" s="59">
        <f>IF(C$26=100,IDF!L21,IF(C$26=50,IDF!J21,IF(C$26=25,IDF!H21,IF(C$26=10,IDF!F21,IF(C$26=5,IDF!D21,"invalid entry in C26")))))</f>
        <v>6.34</v>
      </c>
      <c r="D34" s="52">
        <f t="shared" si="4"/>
        <v>0</v>
      </c>
      <c r="E34" s="58">
        <f t="shared" si="0"/>
        <v>0</v>
      </c>
      <c r="F34" s="60">
        <f t="shared" si="1"/>
        <v>0</v>
      </c>
      <c r="G34" s="61">
        <f t="shared" si="5"/>
        <v>0</v>
      </c>
      <c r="H34" s="58">
        <f t="shared" si="6"/>
        <v>0</v>
      </c>
      <c r="I34" s="39">
        <f t="shared" si="2"/>
        <v>0</v>
      </c>
      <c r="J34" s="29"/>
    </row>
    <row r="35" spans="1:10">
      <c r="A35" s="42">
        <v>60</v>
      </c>
      <c r="B35" s="58">
        <f t="shared" si="3"/>
        <v>0</v>
      </c>
      <c r="C35" s="59">
        <f>IF(C$26=100,IDF!L22,IF(C$26=50,IDF!J22,IF(C$26=25,IDF!H22,IF(C$26=10,IDF!F22,IF(C$26=5,IDF!D22,"invalid entry in C26")))))</f>
        <v>4.03</v>
      </c>
      <c r="D35" s="52">
        <f t="shared" si="4"/>
        <v>0</v>
      </c>
      <c r="E35" s="58">
        <f t="shared" si="0"/>
        <v>0</v>
      </c>
      <c r="F35" s="60">
        <f t="shared" si="1"/>
        <v>0</v>
      </c>
      <c r="G35" s="61">
        <f t="shared" si="5"/>
        <v>0</v>
      </c>
      <c r="H35" s="58">
        <f t="shared" si="6"/>
        <v>0</v>
      </c>
      <c r="I35" s="39">
        <f t="shared" si="2"/>
        <v>0</v>
      </c>
      <c r="J35" s="29"/>
    </row>
    <row r="36" spans="1:10">
      <c r="A36" s="42">
        <f>2*60</f>
        <v>120</v>
      </c>
      <c r="B36" s="58">
        <f t="shared" si="3"/>
        <v>0</v>
      </c>
      <c r="C36" s="59">
        <f>IF(C$26=100,IDF!L23,IF(C$26=50,IDF!J23,IF(C$26=25,IDF!H23,IF(C$26=10,IDF!F23,IF(C$26=5,IDF!D23,"invalid entry in C26")))))</f>
        <v>2.4849999999999999</v>
      </c>
      <c r="D36" s="52">
        <f t="shared" si="4"/>
        <v>0</v>
      </c>
      <c r="E36" s="58">
        <f t="shared" si="0"/>
        <v>0</v>
      </c>
      <c r="F36" s="60">
        <f t="shared" si="1"/>
        <v>0</v>
      </c>
      <c r="G36" s="61">
        <f t="shared" si="5"/>
        <v>0</v>
      </c>
      <c r="H36" s="58">
        <f t="shared" si="6"/>
        <v>0</v>
      </c>
      <c r="I36" s="39">
        <f t="shared" si="2"/>
        <v>0</v>
      </c>
      <c r="J36" s="29"/>
    </row>
    <row r="37" spans="1:10">
      <c r="A37" s="42">
        <f>3*60</f>
        <v>180</v>
      </c>
      <c r="B37" s="58">
        <f t="shared" si="3"/>
        <v>0</v>
      </c>
      <c r="C37" s="59">
        <f>IF(C$26=100,IDF!L24,IF(C$26=50,IDF!J24,IF(C$26=25,IDF!H24,IF(C$26=10,IDF!F24,IF(C$26=5,IDF!D24,"invalid entry in C26")))))</f>
        <v>1.83</v>
      </c>
      <c r="D37" s="52">
        <f t="shared" si="4"/>
        <v>0</v>
      </c>
      <c r="E37" s="58">
        <f t="shared" si="0"/>
        <v>0</v>
      </c>
      <c r="F37" s="60">
        <f t="shared" si="1"/>
        <v>0</v>
      </c>
      <c r="G37" s="61">
        <f t="shared" si="5"/>
        <v>0</v>
      </c>
      <c r="H37" s="58">
        <f t="shared" si="6"/>
        <v>0</v>
      </c>
      <c r="I37" s="39">
        <f t="shared" si="2"/>
        <v>0</v>
      </c>
      <c r="J37" s="29"/>
    </row>
    <row r="38" spans="1:10">
      <c r="A38" s="42">
        <f>6*60</f>
        <v>360</v>
      </c>
      <c r="B38" s="58">
        <f t="shared" si="3"/>
        <v>0</v>
      </c>
      <c r="C38" s="59">
        <f>IF(C$26=100,IDF!L25,IF(C$26=50,IDF!J25,IF(C$26=25,IDF!H25,IF(C$26=10,IDF!F25,IF(C$26=5,IDF!D25,"invalid entry in C26")))))</f>
        <v>1.0716666666666665</v>
      </c>
      <c r="D38" s="52">
        <f t="shared" si="4"/>
        <v>0</v>
      </c>
      <c r="E38" s="58">
        <f t="shared" si="0"/>
        <v>0</v>
      </c>
      <c r="F38" s="60">
        <f t="shared" si="1"/>
        <v>0</v>
      </c>
      <c r="G38" s="61">
        <f t="shared" si="5"/>
        <v>0</v>
      </c>
      <c r="H38" s="58">
        <f t="shared" si="6"/>
        <v>0</v>
      </c>
      <c r="I38" s="39">
        <f t="shared" si="2"/>
        <v>0</v>
      </c>
      <c r="J38" s="29"/>
    </row>
    <row r="39" spans="1:10">
      <c r="A39" s="42">
        <f>12*60</f>
        <v>720</v>
      </c>
      <c r="B39" s="58">
        <f t="shared" si="3"/>
        <v>0</v>
      </c>
      <c r="C39" s="59">
        <f>IF(C$26=100,IDF!L26,IF(C$26=50,IDF!J26,IF(C$26=25,IDF!H26,IF(C$26=10,IDF!F26,IF(C$26=5,IDF!D26,"invalid entry in C26")))))</f>
        <v>0.62166666666666659</v>
      </c>
      <c r="D39" s="52">
        <f t="shared" si="4"/>
        <v>0</v>
      </c>
      <c r="E39" s="58">
        <f t="shared" si="0"/>
        <v>0</v>
      </c>
      <c r="F39" s="60">
        <f t="shared" si="1"/>
        <v>0</v>
      </c>
      <c r="G39" s="61">
        <f t="shared" si="5"/>
        <v>0</v>
      </c>
      <c r="H39" s="58">
        <f t="shared" si="6"/>
        <v>0</v>
      </c>
      <c r="I39" s="39">
        <f t="shared" si="2"/>
        <v>0</v>
      </c>
      <c r="J39" s="29"/>
    </row>
    <row r="40" spans="1:10">
      <c r="A40" s="42">
        <f>18*60</f>
        <v>1080</v>
      </c>
      <c r="B40" s="58">
        <f t="shared" si="3"/>
        <v>0</v>
      </c>
      <c r="C40" s="59">
        <f>IF(C$26=100,IDF!L27,IF(C$26=50,IDF!J27,IF(C$26=25,IDF!H27,IF(C$26=10,IDF!F27,IF(C$26=5,IDF!D27,"invalid entry in C26")))))</f>
        <v>0.44777777777777777</v>
      </c>
      <c r="D40" s="52">
        <f t="shared" si="4"/>
        <v>0</v>
      </c>
      <c r="E40" s="58">
        <f t="shared" si="0"/>
        <v>0</v>
      </c>
      <c r="F40" s="60">
        <f t="shared" si="1"/>
        <v>0</v>
      </c>
      <c r="G40" s="61">
        <f t="shared" si="5"/>
        <v>0</v>
      </c>
      <c r="H40" s="58">
        <f t="shared" si="6"/>
        <v>0</v>
      </c>
      <c r="I40" s="39">
        <f t="shared" si="2"/>
        <v>0</v>
      </c>
      <c r="J40" s="29"/>
    </row>
    <row r="41" spans="1:10">
      <c r="A41" s="42">
        <f>24*60</f>
        <v>1440</v>
      </c>
      <c r="B41" s="58">
        <f t="shared" si="3"/>
        <v>0</v>
      </c>
      <c r="C41" s="59">
        <f>IF(C$26=100,IDF!L28,IF(C$26=50,IDF!J28,IF(C$26=25,IDF!H28,IF(C$26=10,IDF!F28,IF(C$26=5,IDF!D28,"invalid entry in C26")))))</f>
        <v>0.35708333333333331</v>
      </c>
      <c r="D41" s="52">
        <f t="shared" si="4"/>
        <v>0</v>
      </c>
      <c r="E41" s="58">
        <f t="shared" si="0"/>
        <v>0</v>
      </c>
      <c r="F41" s="60">
        <f t="shared" si="1"/>
        <v>0</v>
      </c>
      <c r="G41" s="61">
        <f t="shared" si="5"/>
        <v>0</v>
      </c>
      <c r="H41" s="58">
        <f t="shared" si="6"/>
        <v>0</v>
      </c>
      <c r="I41" s="39">
        <f t="shared" si="2"/>
        <v>0</v>
      </c>
      <c r="J41" s="29"/>
    </row>
    <row r="42" spans="1:10">
      <c r="A42" s="42">
        <f>48*60</f>
        <v>2880</v>
      </c>
      <c r="B42" s="58">
        <f t="shared" si="3"/>
        <v>0</v>
      </c>
      <c r="C42" s="59">
        <f>IF(C$26=100,IDF!L29,IF(C$26=50,IDF!J29,IF(C$26=25,IDF!H29,IF(C$26=10,IDF!F29,IF(C$26=5,IDF!D29,"invalid entry in C26")))))</f>
        <v>0.1933333333333333</v>
      </c>
      <c r="D42" s="52">
        <f t="shared" si="4"/>
        <v>0</v>
      </c>
      <c r="E42" s="58">
        <f t="shared" si="0"/>
        <v>0</v>
      </c>
      <c r="F42" s="60">
        <f t="shared" si="1"/>
        <v>0</v>
      </c>
      <c r="G42" s="61">
        <f t="shared" si="5"/>
        <v>0</v>
      </c>
      <c r="H42" s="58">
        <f t="shared" si="6"/>
        <v>0</v>
      </c>
      <c r="I42" s="39">
        <f t="shared" si="2"/>
        <v>0</v>
      </c>
      <c r="J42" s="29"/>
    </row>
    <row r="43" spans="1:10">
      <c r="A43" s="42">
        <f>72*60</f>
        <v>4320</v>
      </c>
      <c r="B43" s="58">
        <f t="shared" si="3"/>
        <v>0</v>
      </c>
      <c r="C43" s="59">
        <f>IF(C$26=100,IDF!L30,IF(C$26=50,IDF!J30,IF(C$26=25,IDF!H30,IF(C$26=10,IDF!F30,IF(C$26=5,IDF!D30,"invalid entry in C26")))))</f>
        <v>0.13680555555555554</v>
      </c>
      <c r="D43" s="52">
        <f t="shared" si="4"/>
        <v>0</v>
      </c>
      <c r="E43" s="58">
        <f t="shared" si="0"/>
        <v>0</v>
      </c>
      <c r="F43" s="60">
        <f t="shared" si="1"/>
        <v>0</v>
      </c>
      <c r="G43" s="61">
        <f t="shared" si="5"/>
        <v>0</v>
      </c>
      <c r="H43" s="58">
        <f t="shared" si="6"/>
        <v>0</v>
      </c>
      <c r="I43" s="39">
        <f t="shared" si="2"/>
        <v>0</v>
      </c>
      <c r="J43" s="29"/>
    </row>
    <row r="44" spans="1:10">
      <c r="A44" s="42">
        <f>5*24*60</f>
        <v>7200</v>
      </c>
      <c r="B44" s="58">
        <f t="shared" si="3"/>
        <v>0</v>
      </c>
      <c r="C44" s="59">
        <f>IF(C$26=100,IDF!L31,IF(C$26=50,IDF!J31,IF(C$26=25,IDF!H31,IF(C$26=10,IDF!F31,IF(C$26=5,IDF!D31,"invalid entry in C26")))))</f>
        <v>8.8833333333333334E-2</v>
      </c>
      <c r="D44" s="52">
        <f t="shared" si="4"/>
        <v>0</v>
      </c>
      <c r="E44" s="58">
        <f t="shared" si="0"/>
        <v>0</v>
      </c>
      <c r="F44" s="60">
        <f t="shared" si="1"/>
        <v>0</v>
      </c>
      <c r="G44" s="61">
        <f t="shared" si="5"/>
        <v>0</v>
      </c>
      <c r="H44" s="58">
        <f t="shared" si="6"/>
        <v>0</v>
      </c>
      <c r="I44" s="39">
        <f t="shared" si="2"/>
        <v>0</v>
      </c>
      <c r="J44" s="29"/>
    </row>
    <row r="45" spans="1:10">
      <c r="A45" s="42">
        <f>10*24*60</f>
        <v>14400</v>
      </c>
      <c r="B45" s="58">
        <f t="shared" si="3"/>
        <v>0</v>
      </c>
      <c r="C45" s="59">
        <f>IF(C$26=100,IDF!L32,IF(C$26=50,IDF!J32,IF(C$26=25,IDF!H32,IF(C$26=10,IDF!F32,IF(C$26=5,IDF!D32,"invalid entry in C26")))))</f>
        <v>5.2708333333333336E-2</v>
      </c>
      <c r="D45" s="52">
        <f t="shared" si="4"/>
        <v>0</v>
      </c>
      <c r="E45" s="58">
        <f t="shared" si="0"/>
        <v>0</v>
      </c>
      <c r="F45" s="60">
        <f t="shared" si="1"/>
        <v>0</v>
      </c>
      <c r="G45" s="61">
        <f t="shared" si="5"/>
        <v>0</v>
      </c>
      <c r="H45" s="58">
        <f t="shared" si="6"/>
        <v>0</v>
      </c>
      <c r="I45" s="39">
        <f t="shared" si="2"/>
        <v>0</v>
      </c>
      <c r="J45" s="29"/>
    </row>
    <row r="46" spans="1:10" ht="25.5">
      <c r="A46" s="53"/>
      <c r="B46" s="53"/>
      <c r="C46" s="53"/>
      <c r="D46" s="53"/>
      <c r="E46" s="53"/>
      <c r="F46" s="29"/>
      <c r="G46" s="53"/>
      <c r="H46" s="34" t="s">
        <v>537</v>
      </c>
      <c r="I46" s="39">
        <f>MAX(I31:I45)</f>
        <v>0</v>
      </c>
      <c r="J46" s="29"/>
    </row>
    <row r="47" spans="1:10">
      <c r="A47" s="53" t="s">
        <v>204</v>
      </c>
      <c r="B47" s="53"/>
      <c r="C47" s="53"/>
      <c r="D47" s="53"/>
      <c r="E47" s="53"/>
      <c r="F47" s="53"/>
      <c r="G47" s="53"/>
      <c r="H47" s="53"/>
      <c r="I47" s="62"/>
      <c r="J47" s="29"/>
    </row>
    <row r="48" spans="1:10">
      <c r="B48" s="53"/>
      <c r="C48" s="53"/>
      <c r="D48" s="53"/>
      <c r="E48" s="53"/>
      <c r="F48" s="53"/>
      <c r="G48" s="53"/>
      <c r="H48" s="53"/>
      <c r="I48" s="54"/>
      <c r="J48" s="29"/>
    </row>
  </sheetData>
  <mergeCells count="6">
    <mergeCell ref="D12:D13"/>
    <mergeCell ref="E12:E13"/>
    <mergeCell ref="F12:G13"/>
    <mergeCell ref="F18:G18"/>
    <mergeCell ref="F19:G19"/>
    <mergeCell ref="F16:G16"/>
  </mergeCells>
  <conditionalFormatting sqref="D19">
    <cfRule type="cellIs" dxfId="3" priority="1" stopIfTrue="1" operator="greaterThan">
      <formula>$D$17</formula>
    </cfRule>
    <cfRule type="cellIs" dxfId="2" priority="2" stopIfTrue="1" operator="lessThan">
      <formula>$D$17</formula>
    </cfRule>
    <cfRule type="cellIs" dxfId="1" priority="3" stopIfTrue="1" operator="notEqual">
      <formula>$D$17</formula>
    </cfRule>
  </conditionalFormatting>
  <conditionalFormatting sqref="I31:I46">
    <cfRule type="cellIs" dxfId="0" priority="4" stopIfTrue="1" operator="equal">
      <formula>$I$46</formula>
    </cfRule>
  </conditionalFormatting>
  <pageMargins left="0.75" right="0.75" top="1" bottom="1" header="0.5" footer="0.5"/>
  <pageSetup scale="50" orientation="portrait" r:id="rId1"/>
  <headerFooter alignWithMargins="0">
    <oddFooter>&amp;L&amp;8City of Chicago
Dept. of Water Management&amp;C&amp;8Permit Application&amp;R&amp;8&amp;A
Page &amp;P</oddFoot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18"/>
  <sheetViews>
    <sheetView showGridLines="0" zoomScaleNormal="100" workbookViewId="0">
      <selection activeCell="B7" sqref="B7"/>
    </sheetView>
  </sheetViews>
  <sheetFormatPr defaultRowHeight="12.75"/>
  <cols>
    <col min="1" max="1" width="17.28515625" customWidth="1"/>
    <col min="2" max="2" width="17.5703125" customWidth="1"/>
    <col min="3" max="3" width="31.5703125" customWidth="1"/>
    <col min="4" max="4" width="17.5703125" customWidth="1"/>
    <col min="5" max="5" width="17" customWidth="1"/>
    <col min="6" max="6" width="17.7109375" customWidth="1"/>
    <col min="7" max="7" width="17.42578125" customWidth="1"/>
    <col min="8" max="8" width="24.7109375" customWidth="1"/>
    <col min="9" max="9" width="18.7109375" customWidth="1"/>
  </cols>
  <sheetData>
    <row r="1" spans="1:9" ht="18">
      <c r="A1" s="104" t="s">
        <v>2</v>
      </c>
      <c r="B1" s="97"/>
      <c r="C1" s="97"/>
      <c r="D1" s="97"/>
      <c r="E1" s="97"/>
      <c r="F1" s="97"/>
      <c r="G1" s="97"/>
    </row>
    <row r="2" spans="1:9" ht="18">
      <c r="A2" s="104" t="s">
        <v>3</v>
      </c>
      <c r="B2" s="97"/>
      <c r="C2" s="97"/>
      <c r="D2" s="97"/>
      <c r="E2" s="97"/>
      <c r="F2" s="97"/>
      <c r="G2" s="97"/>
    </row>
    <row r="3" spans="1:9" ht="12.75" customHeight="1">
      <c r="A3" s="104"/>
      <c r="B3" s="97"/>
      <c r="C3" s="97"/>
      <c r="D3" s="97"/>
      <c r="E3" s="97"/>
      <c r="F3" s="97"/>
      <c r="G3" s="97"/>
    </row>
    <row r="4" spans="1:9" ht="12.75" customHeight="1">
      <c r="A4" t="s">
        <v>54</v>
      </c>
      <c r="B4" s="96" t="str">
        <f>IF(COVER!$D$15="","",COVER!$D$15)</f>
        <v/>
      </c>
      <c r="C4" s="118"/>
      <c r="D4" s="97"/>
      <c r="E4" s="97"/>
      <c r="F4" s="97"/>
      <c r="G4" s="97"/>
    </row>
    <row r="5" spans="1:9" ht="12.75" customHeight="1">
      <c r="A5" t="s">
        <v>55</v>
      </c>
      <c r="B5" s="119" t="str">
        <f>IF(COVER!$D$18="","",COVER!$D$18)</f>
        <v/>
      </c>
      <c r="C5" s="120"/>
      <c r="D5" s="97"/>
      <c r="E5" s="97"/>
      <c r="F5" s="97"/>
      <c r="G5" s="97"/>
    </row>
    <row r="6" spans="1:9" ht="12.75" customHeight="1">
      <c r="A6" t="s">
        <v>56</v>
      </c>
      <c r="B6" s="119" t="str">
        <f>IF(COVER!$F$21="","",COVER!$F$21)</f>
        <v/>
      </c>
      <c r="C6" s="120"/>
      <c r="D6" s="97"/>
      <c r="E6" s="97"/>
      <c r="F6" s="97"/>
      <c r="G6" s="97"/>
    </row>
    <row r="7" spans="1:9" ht="12.75" customHeight="1">
      <c r="B7" s="91"/>
      <c r="C7" s="97"/>
      <c r="D7" s="97"/>
      <c r="E7" s="97"/>
      <c r="F7" s="97"/>
      <c r="G7" s="97"/>
    </row>
    <row r="8" spans="1:9" ht="18">
      <c r="A8" s="104" t="s">
        <v>53</v>
      </c>
    </row>
    <row r="9" spans="1:9">
      <c r="A9" s="6" t="s">
        <v>584</v>
      </c>
      <c r="C9" s="3"/>
      <c r="D9" s="3"/>
      <c r="E9" s="3"/>
      <c r="F9" s="5"/>
      <c r="G9" s="5"/>
      <c r="H9" s="5"/>
    </row>
    <row r="10" spans="1:9">
      <c r="A10" s="316"/>
      <c r="B10" s="7"/>
      <c r="C10" s="6"/>
      <c r="D10" s="6"/>
      <c r="E10" s="6"/>
      <c r="F10" s="6"/>
      <c r="G10" s="6"/>
      <c r="H10" s="6"/>
      <c r="I10" s="7"/>
    </row>
    <row r="11" spans="1:9">
      <c r="A11" s="6"/>
      <c r="C11" s="6"/>
      <c r="D11" s="18"/>
      <c r="E11" s="19"/>
      <c r="H11" s="6"/>
      <c r="I11" s="7"/>
    </row>
    <row r="12" spans="1:9">
      <c r="A12" s="21"/>
      <c r="B12" s="22" t="s">
        <v>585</v>
      </c>
      <c r="C12" s="7"/>
      <c r="D12" s="495"/>
      <c r="E12" s="497" t="s">
        <v>528</v>
      </c>
      <c r="F12" s="462" t="s">
        <v>148</v>
      </c>
      <c r="G12" s="462"/>
      <c r="H12" s="6"/>
      <c r="I12" s="7"/>
    </row>
    <row r="13" spans="1:9">
      <c r="A13" s="6"/>
      <c r="B13" s="15"/>
      <c r="C13" s="6"/>
      <c r="D13" s="496"/>
      <c r="E13" s="498"/>
      <c r="F13" s="462"/>
      <c r="G13" s="462"/>
      <c r="H13" s="6"/>
      <c r="I13" s="7"/>
    </row>
    <row r="14" spans="1:9" ht="25.5" customHeight="1">
      <c r="A14" s="2"/>
      <c r="B14" s="24"/>
      <c r="C14" s="27" t="s">
        <v>586</v>
      </c>
      <c r="D14" s="183">
        <f>'2.0 VOLUME CONTROL'!C47</f>
        <v>0</v>
      </c>
      <c r="E14" s="36" t="s">
        <v>339</v>
      </c>
      <c r="F14" s="124"/>
      <c r="G14" s="125"/>
      <c r="H14" s="2"/>
    </row>
    <row r="15" spans="1:9" ht="23.25" customHeight="1">
      <c r="A15" s="2"/>
      <c r="B15" s="24"/>
      <c r="C15" s="36" t="s">
        <v>578</v>
      </c>
      <c r="D15" s="183" t="str">
        <f>IF('3.0 Sustainable Development'!H28&gt;1,"Error",IF('3.0 Sustainable Development'!B22="Yes",25,IF('3.0 Sustainable Development'!B23="Yes",50,"")))</f>
        <v/>
      </c>
      <c r="E15" s="36" t="s">
        <v>343</v>
      </c>
      <c r="F15" s="505" t="str">
        <f>IF(D15="Error","Correct error in Tab 3.0","")</f>
        <v/>
      </c>
      <c r="G15" s="506"/>
      <c r="H15" s="2"/>
    </row>
    <row r="16" spans="1:9" ht="38.25">
      <c r="A16" s="2"/>
      <c r="B16" s="2"/>
      <c r="C16" s="27" t="s">
        <v>587</v>
      </c>
      <c r="D16" s="183" t="str">
        <f>IF(D15="","",D14*(1+(D15/100)))</f>
        <v/>
      </c>
      <c r="E16" s="36" t="s">
        <v>339</v>
      </c>
      <c r="F16" s="341"/>
      <c r="G16" s="342"/>
      <c r="H16" s="2"/>
    </row>
    <row r="17" spans="1:8">
      <c r="A17" s="2"/>
      <c r="B17" s="2"/>
      <c r="C17" s="71"/>
      <c r="D17" s="38"/>
      <c r="E17" s="69"/>
      <c r="F17" s="2"/>
      <c r="G17" s="2"/>
      <c r="H17" s="2"/>
    </row>
    <row r="18" spans="1:8">
      <c r="A18" s="2"/>
      <c r="B18" s="2"/>
      <c r="C18" s="71"/>
      <c r="D18" s="38"/>
      <c r="E18" s="69"/>
      <c r="F18" s="2"/>
      <c r="G18" s="2"/>
      <c r="H18" s="2"/>
    </row>
  </sheetData>
  <mergeCells count="4">
    <mergeCell ref="D12:D13"/>
    <mergeCell ref="E12:E13"/>
    <mergeCell ref="F12:G13"/>
    <mergeCell ref="F15:G15"/>
  </mergeCells>
  <pageMargins left="0.75" right="0.75" top="1" bottom="1" header="0.5" footer="0.5"/>
  <pageSetup scale="66" orientation="portrait" r:id="rId1"/>
  <headerFooter alignWithMargins="0">
    <oddFooter>&amp;L&amp;8City of Chicago
Dept. of Water Management&amp;C&amp;8Permit Application&amp;R&amp;8&amp;A
Page &amp;P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7">
    <pageSetUpPr fitToPage="1"/>
  </sheetPr>
  <dimension ref="A1:L32"/>
  <sheetViews>
    <sheetView zoomScaleNormal="100" workbookViewId="0">
      <selection activeCell="B13" sqref="B13"/>
    </sheetView>
  </sheetViews>
  <sheetFormatPr defaultRowHeight="12.75"/>
  <cols>
    <col min="1" max="1" width="15.140625" customWidth="1"/>
    <col min="2" max="2" width="11.140625" customWidth="1"/>
    <col min="3" max="3" width="9" customWidth="1"/>
    <col min="5" max="5" width="9.140625" customWidth="1"/>
    <col min="7" max="7" width="9.140625" customWidth="1"/>
    <col min="9" max="9" width="9.140625" customWidth="1"/>
    <col min="11" max="11" width="9.140625" customWidth="1"/>
  </cols>
  <sheetData>
    <row r="1" spans="1:12" ht="18">
      <c r="A1" s="104" t="s">
        <v>2</v>
      </c>
      <c r="B1" s="97"/>
      <c r="C1" s="97"/>
      <c r="D1" s="97"/>
      <c r="E1" s="97"/>
      <c r="F1" s="97"/>
      <c r="G1" s="97"/>
      <c r="H1" s="97"/>
      <c r="I1" s="97"/>
      <c r="J1" s="97"/>
      <c r="K1" s="97"/>
      <c r="L1" s="97"/>
    </row>
    <row r="2" spans="1:12" ht="18">
      <c r="A2" s="104" t="s">
        <v>3</v>
      </c>
      <c r="B2" s="97"/>
      <c r="C2" s="97"/>
      <c r="D2" s="97"/>
      <c r="E2" s="97"/>
      <c r="F2" s="97"/>
      <c r="G2" s="97"/>
      <c r="H2" s="97"/>
      <c r="I2" s="97"/>
      <c r="J2" s="97"/>
      <c r="K2" s="97"/>
      <c r="L2" s="97"/>
    </row>
    <row r="3" spans="1:12" ht="12.75" customHeight="1">
      <c r="A3" s="104"/>
      <c r="B3" s="97"/>
      <c r="C3" s="97"/>
      <c r="D3" s="97"/>
      <c r="E3" s="97"/>
      <c r="F3" s="97"/>
      <c r="G3" s="97"/>
      <c r="H3" s="97"/>
      <c r="I3" s="97"/>
      <c r="J3" s="97"/>
      <c r="K3" s="97"/>
      <c r="L3" s="97"/>
    </row>
    <row r="4" spans="1:12" ht="12.75" customHeight="1">
      <c r="A4" t="s">
        <v>54</v>
      </c>
      <c r="B4" s="96" t="str">
        <f>IF(COVER!$D$15="","",COVER!$D$15)</f>
        <v/>
      </c>
      <c r="C4" s="96"/>
      <c r="D4" s="118"/>
      <c r="E4" s="97"/>
      <c r="F4" s="97"/>
      <c r="G4" s="97"/>
      <c r="H4" s="97"/>
      <c r="I4" s="97"/>
      <c r="J4" s="97"/>
      <c r="K4" s="97"/>
      <c r="L4" s="97"/>
    </row>
    <row r="5" spans="1:12" ht="12.75" customHeight="1">
      <c r="A5" t="s">
        <v>55</v>
      </c>
      <c r="B5" s="119" t="str">
        <f>IF(COVER!$D$18="","",COVER!$D$18)</f>
        <v/>
      </c>
      <c r="C5" s="119"/>
      <c r="D5" s="120"/>
      <c r="E5" s="97"/>
      <c r="F5" s="97"/>
      <c r="G5" s="97"/>
      <c r="H5" s="97"/>
      <c r="I5" s="97"/>
      <c r="J5" s="97"/>
      <c r="K5" s="97"/>
      <c r="L5" s="97"/>
    </row>
    <row r="6" spans="1:12" ht="12.75" customHeight="1">
      <c r="A6" t="s">
        <v>56</v>
      </c>
      <c r="B6" s="119" t="str">
        <f>IF(COVER!$F$21="","",COVER!$F$21)</f>
        <v/>
      </c>
      <c r="C6" s="119"/>
      <c r="D6" s="120"/>
      <c r="E6" s="97"/>
      <c r="F6" s="97"/>
      <c r="G6" s="97"/>
      <c r="H6" s="97"/>
      <c r="I6" s="97"/>
      <c r="J6" s="97"/>
      <c r="K6" s="97"/>
      <c r="L6" s="97"/>
    </row>
    <row r="7" spans="1:12" ht="12.75" customHeight="1">
      <c r="B7" s="91"/>
      <c r="C7" s="91"/>
      <c r="D7" s="97"/>
      <c r="E7" s="97"/>
      <c r="F7" s="97"/>
      <c r="G7" s="97"/>
      <c r="H7" s="97"/>
      <c r="I7" s="97"/>
      <c r="J7" s="97"/>
      <c r="K7" s="97"/>
      <c r="L7" s="97"/>
    </row>
    <row r="8" spans="1:12">
      <c r="A8" t="s">
        <v>588</v>
      </c>
      <c r="B8" s="23"/>
      <c r="C8" s="23"/>
    </row>
    <row r="9" spans="1:12">
      <c r="B9" s="23"/>
      <c r="C9" s="23"/>
    </row>
    <row r="10" spans="1:12" ht="18">
      <c r="A10" s="104" t="s">
        <v>589</v>
      </c>
    </row>
    <row r="11" spans="1:12" ht="18">
      <c r="A11" s="104"/>
      <c r="B11" s="325" t="s">
        <v>590</v>
      </c>
    </row>
    <row r="13" spans="1:12" ht="24.75" customHeight="1">
      <c r="B13" s="7"/>
      <c r="C13" s="443" t="s">
        <v>591</v>
      </c>
      <c r="D13" s="444"/>
      <c r="E13" s="444"/>
      <c r="F13" s="444"/>
      <c r="G13" s="444"/>
      <c r="H13" s="444"/>
      <c r="I13" s="444"/>
      <c r="J13" s="444"/>
      <c r="K13" s="444"/>
      <c r="L13" s="445"/>
    </row>
    <row r="14" spans="1:12" hidden="1">
      <c r="B14" s="323"/>
      <c r="C14" s="323"/>
      <c r="D14" s="226">
        <v>5</v>
      </c>
      <c r="E14" s="323"/>
      <c r="F14" s="226">
        <v>10</v>
      </c>
      <c r="G14" s="323"/>
      <c r="H14" s="226">
        <v>25</v>
      </c>
      <c r="I14" s="323"/>
      <c r="J14" s="226">
        <v>50</v>
      </c>
      <c r="K14" s="323"/>
      <c r="L14" s="226">
        <v>100</v>
      </c>
    </row>
    <row r="15" spans="1:12">
      <c r="B15" s="324"/>
      <c r="C15" s="436" t="s">
        <v>592</v>
      </c>
      <c r="D15" s="437"/>
      <c r="E15" s="436" t="s">
        <v>593</v>
      </c>
      <c r="F15" s="437"/>
      <c r="G15" s="436" t="s">
        <v>594</v>
      </c>
      <c r="H15" s="437"/>
      <c r="I15" s="436" t="s">
        <v>595</v>
      </c>
      <c r="J15" s="437"/>
      <c r="K15" s="436" t="s">
        <v>596</v>
      </c>
      <c r="L15" s="437"/>
    </row>
    <row r="16" spans="1:12">
      <c r="B16" s="324"/>
      <c r="C16" s="507" t="s">
        <v>597</v>
      </c>
      <c r="D16" s="508"/>
      <c r="E16" s="507" t="s">
        <v>598</v>
      </c>
      <c r="F16" s="508"/>
      <c r="G16" s="507" t="s">
        <v>599</v>
      </c>
      <c r="H16" s="508"/>
      <c r="I16" s="507" t="s">
        <v>600</v>
      </c>
      <c r="J16" s="508"/>
      <c r="K16" s="507" t="s">
        <v>601</v>
      </c>
      <c r="L16" s="508"/>
    </row>
    <row r="17" spans="1:12" ht="37.5" customHeight="1">
      <c r="B17" s="43" t="s">
        <v>602</v>
      </c>
      <c r="C17" s="359" t="s">
        <v>603</v>
      </c>
      <c r="D17" s="359" t="s">
        <v>604</v>
      </c>
      <c r="E17" s="359" t="s">
        <v>603</v>
      </c>
      <c r="F17" s="359" t="s">
        <v>604</v>
      </c>
      <c r="G17" s="359" t="s">
        <v>603</v>
      </c>
      <c r="H17" s="359" t="s">
        <v>604</v>
      </c>
      <c r="I17" s="359" t="s">
        <v>603</v>
      </c>
      <c r="J17" s="359" t="s">
        <v>604</v>
      </c>
      <c r="K17" s="359" t="s">
        <v>603</v>
      </c>
      <c r="L17" s="359" t="s">
        <v>604</v>
      </c>
    </row>
    <row r="18" spans="1:12">
      <c r="A18" s="236" t="s">
        <v>605</v>
      </c>
      <c r="B18" s="35">
        <v>5</v>
      </c>
      <c r="C18" s="360">
        <v>0.52</v>
      </c>
      <c r="D18" s="361">
        <f>C18*(60/$B18)</f>
        <v>6.24</v>
      </c>
      <c r="E18" s="360">
        <v>0.62</v>
      </c>
      <c r="F18" s="361">
        <f>E18*(60/$B18)</f>
        <v>7.4399999999999995</v>
      </c>
      <c r="G18" s="360">
        <v>0.77</v>
      </c>
      <c r="H18" s="361">
        <f t="shared" ref="H18:H32" si="0">G18*(60/$B18)</f>
        <v>9.24</v>
      </c>
      <c r="I18" s="360">
        <v>0.9</v>
      </c>
      <c r="J18" s="361">
        <f t="shared" ref="J18:J32" si="1">I18*(60/$B18)</f>
        <v>10.8</v>
      </c>
      <c r="K18" s="360">
        <v>1.03</v>
      </c>
      <c r="L18" s="361">
        <f t="shared" ref="L18:L32" si="2">K18*(60/$B18)</f>
        <v>12.36</v>
      </c>
    </row>
    <row r="19" spans="1:12">
      <c r="A19" s="236" t="s">
        <v>606</v>
      </c>
      <c r="B19" s="35">
        <v>10</v>
      </c>
      <c r="C19" s="360">
        <v>0.9</v>
      </c>
      <c r="D19" s="361">
        <f t="shared" ref="D19:F32" si="3">C19*(60/$B19)</f>
        <v>5.4</v>
      </c>
      <c r="E19" s="360">
        <v>1.08</v>
      </c>
      <c r="F19" s="361">
        <f t="shared" si="3"/>
        <v>6.48</v>
      </c>
      <c r="G19" s="360">
        <v>1.35</v>
      </c>
      <c r="H19" s="361">
        <f t="shared" si="0"/>
        <v>8.1000000000000014</v>
      </c>
      <c r="I19" s="360">
        <v>1.58</v>
      </c>
      <c r="J19" s="361">
        <f t="shared" si="1"/>
        <v>9.48</v>
      </c>
      <c r="K19" s="360">
        <v>1.8</v>
      </c>
      <c r="L19" s="361">
        <f t="shared" si="2"/>
        <v>10.8</v>
      </c>
    </row>
    <row r="20" spans="1:12">
      <c r="A20" s="236" t="s">
        <v>607</v>
      </c>
      <c r="B20" s="35">
        <v>15</v>
      </c>
      <c r="C20" s="360">
        <v>1.1599999999999999</v>
      </c>
      <c r="D20" s="361">
        <f t="shared" si="3"/>
        <v>4.6399999999999997</v>
      </c>
      <c r="E20" s="360">
        <v>1.39</v>
      </c>
      <c r="F20" s="361">
        <f t="shared" si="3"/>
        <v>5.56</v>
      </c>
      <c r="G20" s="360">
        <v>1.74</v>
      </c>
      <c r="H20" s="361">
        <f t="shared" si="0"/>
        <v>6.96</v>
      </c>
      <c r="I20" s="360">
        <v>2.0299999999999998</v>
      </c>
      <c r="J20" s="361">
        <f t="shared" si="1"/>
        <v>8.1199999999999992</v>
      </c>
      <c r="K20" s="360">
        <v>2.3199999999999998</v>
      </c>
      <c r="L20" s="361">
        <f t="shared" si="2"/>
        <v>9.2799999999999994</v>
      </c>
    </row>
    <row r="21" spans="1:12">
      <c r="A21" s="236" t="s">
        <v>608</v>
      </c>
      <c r="B21" s="35">
        <v>30</v>
      </c>
      <c r="C21" s="360">
        <v>1.59</v>
      </c>
      <c r="D21" s="361">
        <f t="shared" si="3"/>
        <v>3.18</v>
      </c>
      <c r="E21" s="360">
        <v>1.91</v>
      </c>
      <c r="F21" s="361">
        <f t="shared" si="3"/>
        <v>3.82</v>
      </c>
      <c r="G21" s="360">
        <v>2.39</v>
      </c>
      <c r="H21" s="361">
        <f t="shared" si="0"/>
        <v>4.78</v>
      </c>
      <c r="I21" s="360">
        <v>2.78</v>
      </c>
      <c r="J21" s="361">
        <f t="shared" si="1"/>
        <v>5.56</v>
      </c>
      <c r="K21" s="360">
        <v>3.17</v>
      </c>
      <c r="L21" s="361">
        <f t="shared" si="2"/>
        <v>6.34</v>
      </c>
    </row>
    <row r="22" spans="1:12">
      <c r="A22" s="362" t="s">
        <v>609</v>
      </c>
      <c r="B22" s="35">
        <v>60</v>
      </c>
      <c r="C22" s="360">
        <v>2.02</v>
      </c>
      <c r="D22" s="361">
        <f t="shared" si="3"/>
        <v>2.02</v>
      </c>
      <c r="E22" s="360">
        <v>2.42</v>
      </c>
      <c r="F22" s="361">
        <f t="shared" si="3"/>
        <v>2.42</v>
      </c>
      <c r="G22" s="360">
        <v>3.03</v>
      </c>
      <c r="H22" s="361">
        <f t="shared" si="0"/>
        <v>3.03</v>
      </c>
      <c r="I22" s="360">
        <v>3.53</v>
      </c>
      <c r="J22" s="361">
        <f t="shared" si="1"/>
        <v>3.53</v>
      </c>
      <c r="K22" s="360">
        <v>4.03</v>
      </c>
      <c r="L22" s="361">
        <f t="shared" si="2"/>
        <v>4.03</v>
      </c>
    </row>
    <row r="23" spans="1:12">
      <c r="A23" s="362" t="s">
        <v>610</v>
      </c>
      <c r="B23" s="35">
        <f>2*60</f>
        <v>120</v>
      </c>
      <c r="C23" s="360">
        <v>2.4900000000000002</v>
      </c>
      <c r="D23" s="361">
        <f t="shared" si="3"/>
        <v>1.2450000000000001</v>
      </c>
      <c r="E23" s="360">
        <v>2.99</v>
      </c>
      <c r="F23" s="361">
        <f t="shared" si="3"/>
        <v>1.4950000000000001</v>
      </c>
      <c r="G23" s="360">
        <v>3.74</v>
      </c>
      <c r="H23" s="361">
        <f t="shared" si="0"/>
        <v>1.87</v>
      </c>
      <c r="I23" s="360">
        <v>4.3499999999999996</v>
      </c>
      <c r="J23" s="361">
        <f t="shared" si="1"/>
        <v>2.1749999999999998</v>
      </c>
      <c r="K23" s="360">
        <v>4.97</v>
      </c>
      <c r="L23" s="361">
        <f t="shared" si="2"/>
        <v>2.4849999999999999</v>
      </c>
    </row>
    <row r="24" spans="1:12">
      <c r="A24" s="362" t="s">
        <v>611</v>
      </c>
      <c r="B24" s="35">
        <f>3*60</f>
        <v>180</v>
      </c>
      <c r="C24" s="360">
        <v>2.75</v>
      </c>
      <c r="D24" s="361">
        <f t="shared" si="3"/>
        <v>0.91666666666666663</v>
      </c>
      <c r="E24" s="360">
        <v>3.3</v>
      </c>
      <c r="F24" s="361">
        <f t="shared" si="3"/>
        <v>1.0999999999999999</v>
      </c>
      <c r="G24" s="360">
        <v>4.13</v>
      </c>
      <c r="H24" s="361">
        <f t="shared" si="0"/>
        <v>1.3766666666666665</v>
      </c>
      <c r="I24" s="360">
        <v>4.8</v>
      </c>
      <c r="J24" s="361">
        <f t="shared" si="1"/>
        <v>1.5999999999999999</v>
      </c>
      <c r="K24" s="360">
        <v>5.49</v>
      </c>
      <c r="L24" s="361">
        <f t="shared" si="2"/>
        <v>1.83</v>
      </c>
    </row>
    <row r="25" spans="1:12">
      <c r="A25" s="362" t="s">
        <v>612</v>
      </c>
      <c r="B25" s="35">
        <f>6*60</f>
        <v>360</v>
      </c>
      <c r="C25" s="360">
        <v>3.23</v>
      </c>
      <c r="D25" s="361">
        <f t="shared" si="3"/>
        <v>0.53833333333333333</v>
      </c>
      <c r="E25" s="360">
        <v>3.86</v>
      </c>
      <c r="F25" s="361">
        <f t="shared" si="3"/>
        <v>0.64333333333333331</v>
      </c>
      <c r="G25" s="360">
        <v>4.84</v>
      </c>
      <c r="H25" s="361">
        <f t="shared" si="0"/>
        <v>0.80666666666666664</v>
      </c>
      <c r="I25" s="360">
        <v>5.63</v>
      </c>
      <c r="J25" s="361">
        <f t="shared" si="1"/>
        <v>0.93833333333333324</v>
      </c>
      <c r="K25" s="360">
        <v>6.43</v>
      </c>
      <c r="L25" s="361">
        <f t="shared" si="2"/>
        <v>1.0716666666666665</v>
      </c>
    </row>
    <row r="26" spans="1:12">
      <c r="A26" s="362" t="s">
        <v>613</v>
      </c>
      <c r="B26" s="35">
        <f>12*60</f>
        <v>720</v>
      </c>
      <c r="C26" s="360">
        <v>3.74</v>
      </c>
      <c r="D26" s="361">
        <f t="shared" si="3"/>
        <v>0.31166666666666665</v>
      </c>
      <c r="E26" s="360">
        <v>4.4800000000000004</v>
      </c>
      <c r="F26" s="361">
        <f t="shared" si="3"/>
        <v>0.37333333333333335</v>
      </c>
      <c r="G26" s="360">
        <v>5.61</v>
      </c>
      <c r="H26" s="361">
        <f t="shared" si="0"/>
        <v>0.46750000000000003</v>
      </c>
      <c r="I26" s="360">
        <v>6.53</v>
      </c>
      <c r="J26" s="361">
        <f t="shared" si="1"/>
        <v>0.54416666666666669</v>
      </c>
      <c r="K26" s="360">
        <v>7.46</v>
      </c>
      <c r="L26" s="361">
        <f t="shared" si="2"/>
        <v>0.62166666666666659</v>
      </c>
    </row>
    <row r="27" spans="1:12">
      <c r="A27" s="362" t="s">
        <v>614</v>
      </c>
      <c r="B27" s="35">
        <f>18*60</f>
        <v>1080</v>
      </c>
      <c r="C27" s="360">
        <v>4.04</v>
      </c>
      <c r="D27" s="361">
        <f t="shared" si="3"/>
        <v>0.22444444444444445</v>
      </c>
      <c r="E27" s="360">
        <v>4.84</v>
      </c>
      <c r="F27" s="361">
        <f t="shared" si="3"/>
        <v>0.26888888888888884</v>
      </c>
      <c r="G27" s="360">
        <v>6.06</v>
      </c>
      <c r="H27" s="361">
        <f t="shared" si="0"/>
        <v>0.33666666666666661</v>
      </c>
      <c r="I27" s="360">
        <v>7.05</v>
      </c>
      <c r="J27" s="361">
        <f t="shared" si="1"/>
        <v>0.39166666666666661</v>
      </c>
      <c r="K27" s="360">
        <v>8.06</v>
      </c>
      <c r="L27" s="361">
        <f t="shared" si="2"/>
        <v>0.44777777777777777</v>
      </c>
    </row>
    <row r="28" spans="1:12">
      <c r="A28" s="362" t="s">
        <v>615</v>
      </c>
      <c r="B28" s="35">
        <f>24*60</f>
        <v>1440</v>
      </c>
      <c r="C28" s="360">
        <v>4.3</v>
      </c>
      <c r="D28" s="361">
        <f t="shared" si="3"/>
        <v>0.17916666666666664</v>
      </c>
      <c r="E28" s="360">
        <v>5.15</v>
      </c>
      <c r="F28" s="361">
        <f t="shared" si="3"/>
        <v>0.21458333333333335</v>
      </c>
      <c r="G28" s="360">
        <v>6.45</v>
      </c>
      <c r="H28" s="361">
        <f t="shared" si="0"/>
        <v>0.26874999999999999</v>
      </c>
      <c r="I28" s="360">
        <v>7.5</v>
      </c>
      <c r="J28" s="361">
        <f t="shared" si="1"/>
        <v>0.3125</v>
      </c>
      <c r="K28" s="360">
        <v>8.57</v>
      </c>
      <c r="L28" s="361">
        <f t="shared" si="2"/>
        <v>0.35708333333333331</v>
      </c>
    </row>
    <row r="29" spans="1:12">
      <c r="A29" s="362" t="s">
        <v>616</v>
      </c>
      <c r="B29" s="35">
        <f>48*60</f>
        <v>2880</v>
      </c>
      <c r="C29" s="360">
        <v>4.71</v>
      </c>
      <c r="D29" s="361">
        <f t="shared" si="3"/>
        <v>9.812499999999999E-2</v>
      </c>
      <c r="E29" s="360">
        <v>5.62</v>
      </c>
      <c r="F29" s="361">
        <f t="shared" si="3"/>
        <v>0.11708333333333333</v>
      </c>
      <c r="G29" s="360">
        <v>6.99</v>
      </c>
      <c r="H29" s="361">
        <f t="shared" si="0"/>
        <v>0.145625</v>
      </c>
      <c r="I29" s="360">
        <v>8.1300000000000008</v>
      </c>
      <c r="J29" s="361">
        <f t="shared" si="1"/>
        <v>0.169375</v>
      </c>
      <c r="K29" s="360">
        <v>9.2799999999999994</v>
      </c>
      <c r="L29" s="361">
        <f t="shared" si="2"/>
        <v>0.1933333333333333</v>
      </c>
    </row>
    <row r="30" spans="1:12">
      <c r="A30" s="362" t="s">
        <v>617</v>
      </c>
      <c r="B30" s="35">
        <f>72*60</f>
        <v>4320</v>
      </c>
      <c r="C30" s="360">
        <v>5.08</v>
      </c>
      <c r="D30" s="361">
        <f t="shared" si="3"/>
        <v>7.0555555555555552E-2</v>
      </c>
      <c r="E30" s="360">
        <v>6.05</v>
      </c>
      <c r="F30" s="361">
        <f t="shared" si="3"/>
        <v>8.4027777777777771E-2</v>
      </c>
      <c r="G30" s="360">
        <v>7.49</v>
      </c>
      <c r="H30" s="361">
        <f t="shared" si="0"/>
        <v>0.10402777777777777</v>
      </c>
      <c r="I30" s="360">
        <v>8.64</v>
      </c>
      <c r="J30" s="361">
        <f t="shared" si="1"/>
        <v>0.12</v>
      </c>
      <c r="K30" s="360">
        <v>9.85</v>
      </c>
      <c r="L30" s="361">
        <f t="shared" si="2"/>
        <v>0.13680555555555554</v>
      </c>
    </row>
    <row r="31" spans="1:12">
      <c r="A31" s="362" t="s">
        <v>618</v>
      </c>
      <c r="B31" s="35">
        <f>5*24*60</f>
        <v>7200</v>
      </c>
      <c r="C31" s="360">
        <v>5.63</v>
      </c>
      <c r="D31" s="361">
        <f t="shared" si="3"/>
        <v>4.6916666666666662E-2</v>
      </c>
      <c r="E31" s="360">
        <v>6.68</v>
      </c>
      <c r="F31" s="361">
        <f t="shared" si="3"/>
        <v>5.5666666666666663E-2</v>
      </c>
      <c r="G31" s="360">
        <v>8.16</v>
      </c>
      <c r="H31" s="361">
        <f t="shared" si="0"/>
        <v>6.8000000000000005E-2</v>
      </c>
      <c r="I31" s="360">
        <v>9.39</v>
      </c>
      <c r="J31" s="361">
        <f t="shared" si="1"/>
        <v>7.825E-2</v>
      </c>
      <c r="K31" s="360">
        <v>10.66</v>
      </c>
      <c r="L31" s="361">
        <f t="shared" si="2"/>
        <v>8.8833333333333334E-2</v>
      </c>
    </row>
    <row r="32" spans="1:12">
      <c r="A32" s="362" t="s">
        <v>619</v>
      </c>
      <c r="B32" s="35">
        <f>10*24*60</f>
        <v>14400</v>
      </c>
      <c r="C32" s="360">
        <v>7.09</v>
      </c>
      <c r="D32" s="361">
        <f t="shared" si="3"/>
        <v>2.9541666666666664E-2</v>
      </c>
      <c r="E32" s="360">
        <v>8.25</v>
      </c>
      <c r="F32" s="361">
        <f t="shared" si="3"/>
        <v>3.4375000000000003E-2</v>
      </c>
      <c r="G32" s="360">
        <v>9.9</v>
      </c>
      <c r="H32" s="361">
        <f t="shared" si="0"/>
        <v>4.1250000000000002E-2</v>
      </c>
      <c r="I32" s="360">
        <v>11.26</v>
      </c>
      <c r="J32" s="361">
        <f t="shared" si="1"/>
        <v>4.6916666666666662E-2</v>
      </c>
      <c r="K32" s="360">
        <v>12.65</v>
      </c>
      <c r="L32" s="361">
        <f t="shared" si="2"/>
        <v>5.2708333333333336E-2</v>
      </c>
    </row>
  </sheetData>
  <mergeCells count="11">
    <mergeCell ref="I15:J15"/>
    <mergeCell ref="K15:L15"/>
    <mergeCell ref="C13:L13"/>
    <mergeCell ref="C16:D16"/>
    <mergeCell ref="E16:F16"/>
    <mergeCell ref="G16:H16"/>
    <mergeCell ref="I16:J16"/>
    <mergeCell ref="K16:L16"/>
    <mergeCell ref="C15:D15"/>
    <mergeCell ref="E15:F15"/>
    <mergeCell ref="G15:H15"/>
  </mergeCells>
  <phoneticPr fontId="0" type="noConversion"/>
  <printOptions horizontalCentered="1" verticalCentered="1"/>
  <pageMargins left="0.75" right="0.75" top="1" bottom="1" header="0.5" footer="0.5"/>
  <pageSetup scale="77" orientation="portrait" r:id="rId1"/>
  <headerFooter alignWithMargins="0">
    <oddFooter>&amp;L&amp;8City of Chicago
Dept. of Water Management&amp;C&amp;8IDF Curve&amp;R&amp;8Page &amp;P</odd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P66"/>
  <sheetViews>
    <sheetView showGridLines="0" zoomScaleNormal="100" workbookViewId="0">
      <selection activeCell="C12" sqref="C12"/>
    </sheetView>
  </sheetViews>
  <sheetFormatPr defaultRowHeight="12.75"/>
  <cols>
    <col min="1" max="1" width="14.5703125" customWidth="1"/>
    <col min="2" max="2" width="27.7109375" customWidth="1"/>
    <col min="3" max="3" width="14.42578125" style="98" customWidth="1"/>
    <col min="4" max="8" width="14.42578125" customWidth="1"/>
    <col min="9" max="9" width="2.85546875" customWidth="1"/>
    <col min="10" max="10" width="7.140625" customWidth="1"/>
  </cols>
  <sheetData>
    <row r="1" spans="2:8" ht="18">
      <c r="B1" s="104" t="s">
        <v>2</v>
      </c>
      <c r="C1" s="97"/>
    </row>
    <row r="2" spans="2:8" ht="18">
      <c r="B2" s="104" t="s">
        <v>3</v>
      </c>
      <c r="C2" s="97"/>
    </row>
    <row r="3" spans="2:8" ht="12.75" customHeight="1">
      <c r="B3" s="104"/>
      <c r="C3"/>
    </row>
    <row r="4" spans="2:8" ht="15.95" customHeight="1">
      <c r="B4" t="s">
        <v>54</v>
      </c>
      <c r="C4" s="382" t="str">
        <f>IF(COVER!$D$15="","",COVER!$D$15)</f>
        <v/>
      </c>
      <c r="D4" s="382"/>
    </row>
    <row r="5" spans="2:8" ht="15.95" customHeight="1">
      <c r="B5" t="s">
        <v>55</v>
      </c>
      <c r="C5" s="383" t="str">
        <f>IF(COVER!$D$18="","",COVER!$D$18)</f>
        <v/>
      </c>
      <c r="D5" s="383"/>
    </row>
    <row r="6" spans="2:8" ht="15.95" customHeight="1">
      <c r="B6" t="s">
        <v>56</v>
      </c>
      <c r="C6" s="383" t="str">
        <f>IF(COVER!$F$21="","",COVER!$F$21)</f>
        <v/>
      </c>
      <c r="D6" s="383"/>
    </row>
    <row r="7" spans="2:8" ht="12" customHeight="1"/>
    <row r="8" spans="2:8" ht="16.5" customHeight="1">
      <c r="B8" s="104" t="s">
        <v>57</v>
      </c>
    </row>
    <row r="9" spans="2:8" ht="12" customHeight="1"/>
    <row r="10" spans="2:8" ht="20.25" customHeight="1" thickBot="1">
      <c r="B10" s="380" t="s">
        <v>58</v>
      </c>
      <c r="C10" s="381"/>
      <c r="D10" s="381"/>
      <c r="E10" s="381"/>
      <c r="F10" s="381"/>
      <c r="G10" s="381"/>
      <c r="H10" s="381"/>
    </row>
    <row r="11" spans="2:8" ht="15.95" customHeight="1">
      <c r="B11" s="257" t="s">
        <v>59</v>
      </c>
      <c r="C11" s="249" t="s">
        <v>60</v>
      </c>
      <c r="D11" s="237" t="s">
        <v>61</v>
      </c>
      <c r="E11" s="237" t="s">
        <v>62</v>
      </c>
      <c r="F11" s="237" t="s">
        <v>63</v>
      </c>
      <c r="G11" s="237" t="s">
        <v>64</v>
      </c>
      <c r="H11" s="238" t="s">
        <v>65</v>
      </c>
    </row>
    <row r="12" spans="2:8" ht="15.95" customHeight="1">
      <c r="B12" s="294" t="s">
        <v>66</v>
      </c>
      <c r="C12" s="250"/>
      <c r="D12" s="139"/>
      <c r="E12" s="139"/>
      <c r="F12" s="139"/>
      <c r="G12" s="139"/>
      <c r="H12" s="239"/>
    </row>
    <row r="13" spans="2:8" ht="15.95" customHeight="1">
      <c r="B13" s="270" t="s">
        <v>67</v>
      </c>
      <c r="C13" s="250"/>
      <c r="D13" s="139"/>
      <c r="E13" s="139"/>
      <c r="F13" s="139"/>
      <c r="G13" s="139"/>
      <c r="H13" s="239"/>
    </row>
    <row r="14" spans="2:8" ht="15.95" customHeight="1">
      <c r="B14" s="270" t="s">
        <v>68</v>
      </c>
      <c r="C14" s="250"/>
      <c r="D14" s="139"/>
      <c r="E14" s="139"/>
      <c r="F14" s="139"/>
      <c r="G14" s="139"/>
      <c r="H14" s="239"/>
    </row>
    <row r="15" spans="2:8" ht="15.95" customHeight="1">
      <c r="B15" s="270" t="s">
        <v>69</v>
      </c>
      <c r="C15" s="251"/>
      <c r="D15" s="240"/>
      <c r="E15" s="240"/>
      <c r="F15" s="240"/>
      <c r="G15" s="240"/>
      <c r="H15" s="241"/>
    </row>
    <row r="16" spans="2:8" ht="15.95" customHeight="1">
      <c r="B16" s="270" t="s">
        <v>70</v>
      </c>
      <c r="C16" s="251"/>
      <c r="D16" s="240"/>
      <c r="E16" s="240"/>
      <c r="F16" s="240"/>
      <c r="G16" s="240"/>
      <c r="H16" s="241"/>
    </row>
    <row r="17" spans="2:16" ht="15.95" customHeight="1">
      <c r="B17" s="270" t="s">
        <v>71</v>
      </c>
      <c r="C17" s="252"/>
      <c r="D17" s="242"/>
      <c r="E17" s="242"/>
      <c r="F17" s="242"/>
      <c r="G17" s="242"/>
      <c r="H17" s="243"/>
    </row>
    <row r="18" spans="2:16" ht="15.95" customHeight="1">
      <c r="B18" s="293" t="s">
        <v>72</v>
      </c>
      <c r="C18" s="253" t="str">
        <f t="shared" ref="C18:H18" si="0">IF(C15="","",IF(C16="","",IF(C17="","",IF(C15-C16&lt;=0,"Error",(C15-C16)/C17))))</f>
        <v/>
      </c>
      <c r="D18" s="253" t="str">
        <f t="shared" si="0"/>
        <v/>
      </c>
      <c r="E18" s="253" t="str">
        <f t="shared" si="0"/>
        <v/>
      </c>
      <c r="F18" s="253" t="str">
        <f t="shared" si="0"/>
        <v/>
      </c>
      <c r="G18" s="253" t="str">
        <f t="shared" si="0"/>
        <v/>
      </c>
      <c r="H18" s="312" t="str">
        <f t="shared" si="0"/>
        <v/>
      </c>
    </row>
    <row r="19" spans="2:16" ht="15.95" customHeight="1">
      <c r="B19" s="292" t="s">
        <v>73</v>
      </c>
      <c r="C19" s="264"/>
      <c r="D19" s="264"/>
      <c r="E19" s="264"/>
      <c r="F19" s="264"/>
      <c r="G19" s="264"/>
      <c r="H19" s="265"/>
    </row>
    <row r="20" spans="2:16" ht="15.95" customHeight="1">
      <c r="B20" s="294" t="s">
        <v>74</v>
      </c>
      <c r="C20" s="250"/>
      <c r="D20" s="139"/>
      <c r="E20" s="139"/>
      <c r="F20" s="139"/>
      <c r="G20" s="139"/>
      <c r="H20" s="239"/>
    </row>
    <row r="21" spans="2:16" ht="15.95" customHeight="1">
      <c r="B21" s="270" t="s">
        <v>75</v>
      </c>
      <c r="C21" s="254">
        <f t="shared" ref="C21:H21" si="1">PI()*((C20/2)/12)^2</f>
        <v>0</v>
      </c>
      <c r="D21" s="244">
        <f t="shared" si="1"/>
        <v>0</v>
      </c>
      <c r="E21" s="244">
        <f t="shared" si="1"/>
        <v>0</v>
      </c>
      <c r="F21" s="244">
        <f t="shared" si="1"/>
        <v>0</v>
      </c>
      <c r="G21" s="244">
        <f t="shared" si="1"/>
        <v>0</v>
      </c>
      <c r="H21" s="245">
        <f t="shared" si="1"/>
        <v>0</v>
      </c>
    </row>
    <row r="22" spans="2:16" ht="15.95" customHeight="1">
      <c r="B22" s="270" t="s">
        <v>76</v>
      </c>
      <c r="C22" s="254">
        <f t="shared" ref="C22:H22" si="2">PI()*(C20/12)</f>
        <v>0</v>
      </c>
      <c r="D22" s="244">
        <f t="shared" si="2"/>
        <v>0</v>
      </c>
      <c r="E22" s="244">
        <f t="shared" si="2"/>
        <v>0</v>
      </c>
      <c r="F22" s="244">
        <f t="shared" si="2"/>
        <v>0</v>
      </c>
      <c r="G22" s="244">
        <f t="shared" si="2"/>
        <v>0</v>
      </c>
      <c r="H22" s="245">
        <f t="shared" si="2"/>
        <v>0</v>
      </c>
    </row>
    <row r="23" spans="2:16" ht="15.95" customHeight="1">
      <c r="B23" s="270" t="s">
        <v>77</v>
      </c>
      <c r="C23" s="254" t="str">
        <f t="shared" ref="C23:H23" si="3">IF(C21=0,"",IF(C22=0,"",C21/C22))</f>
        <v/>
      </c>
      <c r="D23" s="254" t="str">
        <f t="shared" si="3"/>
        <v/>
      </c>
      <c r="E23" s="254" t="str">
        <f t="shared" si="3"/>
        <v/>
      </c>
      <c r="F23" s="254" t="str">
        <f t="shared" si="3"/>
        <v/>
      </c>
      <c r="G23" s="254" t="str">
        <f t="shared" si="3"/>
        <v/>
      </c>
      <c r="H23" s="300" t="str">
        <f t="shared" si="3"/>
        <v/>
      </c>
    </row>
    <row r="24" spans="2:16" ht="15.95" customHeight="1">
      <c r="B24" s="270" t="s">
        <v>78</v>
      </c>
      <c r="C24" s="255"/>
      <c r="D24" s="246"/>
      <c r="E24" s="246"/>
      <c r="F24" s="246"/>
      <c r="G24" s="246"/>
      <c r="H24" s="247"/>
    </row>
    <row r="25" spans="2:16" ht="15.95" customHeight="1">
      <c r="B25" s="293" t="s">
        <v>79</v>
      </c>
      <c r="C25" s="254" t="str">
        <f t="shared" ref="C25:H25" si="4">IF(C23="","",IF(C24="","",(1.486*((C23)^(2/3)))/C24))</f>
        <v/>
      </c>
      <c r="D25" s="254" t="str">
        <f t="shared" si="4"/>
        <v/>
      </c>
      <c r="E25" s="254" t="str">
        <f t="shared" si="4"/>
        <v/>
      </c>
      <c r="F25" s="254" t="str">
        <f t="shared" si="4"/>
        <v/>
      </c>
      <c r="G25" s="254" t="str">
        <f t="shared" si="4"/>
        <v/>
      </c>
      <c r="H25" s="300" t="str">
        <f t="shared" si="4"/>
        <v/>
      </c>
    </row>
    <row r="26" spans="2:16" ht="15.95" customHeight="1">
      <c r="B26" s="292" t="s">
        <v>80</v>
      </c>
      <c r="C26" s="307" t="str">
        <f>IF(C18&lt;&gt;"Error",IF(D18&lt;&gt;"Error",IF(E18&lt;&gt;"Error",IF(F18&lt;&gt;"Error",IF(G18&lt;&gt;"Error",IF(H18&lt;&gt;"Error","",$P$26),$P$26),$P$26),$P$26),$P$26),$P$26)</f>
        <v/>
      </c>
      <c r="D26" s="264"/>
      <c r="E26" s="264"/>
      <c r="F26" s="264"/>
      <c r="G26" s="264"/>
      <c r="H26" s="265"/>
      <c r="P26" s="311" t="s">
        <v>81</v>
      </c>
    </row>
    <row r="27" spans="2:16" ht="15.95" customHeight="1">
      <c r="B27" s="294" t="s">
        <v>82</v>
      </c>
      <c r="C27" s="256" t="str">
        <f t="shared" ref="C27:H27" si="5">IF(C28="","",IF(C15-C16&lt;=0,"Error",C28/C21))</f>
        <v/>
      </c>
      <c r="D27" s="196" t="str">
        <f t="shared" si="5"/>
        <v/>
      </c>
      <c r="E27" s="196" t="str">
        <f t="shared" si="5"/>
        <v/>
      </c>
      <c r="F27" s="196" t="str">
        <f t="shared" si="5"/>
        <v/>
      </c>
      <c r="G27" s="196" t="str">
        <f t="shared" si="5"/>
        <v/>
      </c>
      <c r="H27" s="248" t="str">
        <f t="shared" si="5"/>
        <v/>
      </c>
    </row>
    <row r="28" spans="2:16" ht="15.95" customHeight="1">
      <c r="B28" s="293" t="s">
        <v>83</v>
      </c>
      <c r="C28" s="310" t="str">
        <f t="shared" ref="C28:H28" si="6">IF(C25="","",IF(C18="","",IF(C18="Error","Error",C25*((C18^(1/2))*C21))))</f>
        <v/>
      </c>
      <c r="D28" s="308" t="str">
        <f t="shared" si="6"/>
        <v/>
      </c>
      <c r="E28" s="308" t="str">
        <f t="shared" si="6"/>
        <v/>
      </c>
      <c r="F28" s="308" t="str">
        <f t="shared" si="6"/>
        <v/>
      </c>
      <c r="G28" s="308" t="str">
        <f t="shared" si="6"/>
        <v/>
      </c>
      <c r="H28" s="309" t="str">
        <f t="shared" si="6"/>
        <v/>
      </c>
    </row>
    <row r="29" spans="2:16" ht="15.95" customHeight="1">
      <c r="B29" s="258" t="s">
        <v>78</v>
      </c>
      <c r="C29" s="299"/>
      <c r="D29" s="299"/>
      <c r="E29" s="299"/>
      <c r="F29" s="299"/>
      <c r="G29" s="299"/>
      <c r="H29" s="301"/>
    </row>
    <row r="30" spans="2:16" ht="15.95" customHeight="1">
      <c r="B30" s="258" t="s">
        <v>84</v>
      </c>
      <c r="C30" s="91" t="s">
        <v>85</v>
      </c>
      <c r="H30" s="259"/>
    </row>
    <row r="31" spans="2:16" ht="15.95" customHeight="1">
      <c r="B31" s="258" t="s">
        <v>86</v>
      </c>
      <c r="C31" s="91" t="s">
        <v>87</v>
      </c>
      <c r="H31" s="259"/>
    </row>
    <row r="32" spans="2:16" ht="15.95" customHeight="1" thickBot="1">
      <c r="B32" s="260" t="s">
        <v>88</v>
      </c>
      <c r="C32" s="261" t="s">
        <v>89</v>
      </c>
      <c r="D32" s="262"/>
      <c r="E32" s="262"/>
      <c r="F32" s="262"/>
      <c r="G32" s="262"/>
      <c r="H32" s="263"/>
    </row>
    <row r="33" spans="1:8" ht="12" customHeight="1"/>
    <row r="34" spans="1:8" ht="20.25" customHeight="1" thickBot="1">
      <c r="B34" s="380" t="s">
        <v>90</v>
      </c>
      <c r="C34" s="381"/>
      <c r="D34" s="381"/>
      <c r="E34" s="381"/>
      <c r="F34" s="381"/>
      <c r="G34" s="381"/>
      <c r="H34" s="381"/>
    </row>
    <row r="35" spans="1:8" ht="15.95" customHeight="1">
      <c r="A35" s="23"/>
      <c r="B35" s="303"/>
      <c r="C35" s="266"/>
      <c r="D35" s="267" t="s">
        <v>60</v>
      </c>
      <c r="E35" s="268"/>
      <c r="F35" s="266"/>
      <c r="G35" s="267" t="s">
        <v>61</v>
      </c>
      <c r="H35" s="268"/>
    </row>
    <row r="36" spans="1:8" ht="15.95" customHeight="1">
      <c r="B36" s="270" t="s">
        <v>91</v>
      </c>
      <c r="C36" s="276"/>
      <c r="D36" s="228" t="s">
        <v>92</v>
      </c>
      <c r="E36" s="274" t="s">
        <v>93</v>
      </c>
      <c r="F36" s="277"/>
      <c r="G36" s="228" t="s">
        <v>92</v>
      </c>
      <c r="H36" s="302" t="s">
        <v>93</v>
      </c>
    </row>
    <row r="37" spans="1:8" ht="15.95" customHeight="1">
      <c r="B37" s="270" t="s">
        <v>94</v>
      </c>
      <c r="C37" s="289">
        <f>C36-C38-C39</f>
        <v>0</v>
      </c>
      <c r="D37" s="279">
        <v>1</v>
      </c>
      <c r="E37" s="248">
        <f>C37*D37</f>
        <v>0</v>
      </c>
      <c r="F37" s="290">
        <f>F36-F38-F39</f>
        <v>0</v>
      </c>
      <c r="G37" s="279">
        <v>1</v>
      </c>
      <c r="H37" s="281">
        <f>F37*G37</f>
        <v>0</v>
      </c>
    </row>
    <row r="38" spans="1:8" ht="15.95" customHeight="1">
      <c r="B38" s="270" t="s">
        <v>95</v>
      </c>
      <c r="C38" s="278"/>
      <c r="D38" s="279">
        <v>1.3</v>
      </c>
      <c r="E38" s="248">
        <f>C38*D38</f>
        <v>0</v>
      </c>
      <c r="F38" s="280"/>
      <c r="G38" s="279">
        <v>1.3</v>
      </c>
      <c r="H38" s="281">
        <f>F38*G38</f>
        <v>0</v>
      </c>
    </row>
    <row r="39" spans="1:8" ht="15.95" customHeight="1">
      <c r="B39" s="270" t="s">
        <v>96</v>
      </c>
      <c r="C39" s="282"/>
      <c r="D39" s="283">
        <v>1.5</v>
      </c>
      <c r="E39" s="248">
        <f>C39*D39</f>
        <v>0</v>
      </c>
      <c r="F39" s="284"/>
      <c r="G39" s="283">
        <v>1.5</v>
      </c>
      <c r="H39" s="281">
        <f>F39*G39</f>
        <v>0</v>
      </c>
    </row>
    <row r="40" spans="1:8" ht="15.95" customHeight="1" thickBot="1">
      <c r="B40" s="271"/>
      <c r="C40" s="273"/>
      <c r="D40" s="298" t="s">
        <v>97</v>
      </c>
      <c r="E40" s="288">
        <f>SUM(E37:E39)</f>
        <v>0</v>
      </c>
      <c r="F40" s="262"/>
      <c r="G40" s="298" t="s">
        <v>97</v>
      </c>
      <c r="H40" s="288">
        <f>SUM(H37:H39)</f>
        <v>0</v>
      </c>
    </row>
    <row r="41" spans="1:8" ht="15.95" customHeight="1">
      <c r="B41" s="272"/>
      <c r="D41" s="269" t="s">
        <v>62</v>
      </c>
      <c r="E41" s="259"/>
      <c r="F41" s="98"/>
      <c r="G41" s="269" t="s">
        <v>63</v>
      </c>
      <c r="H41" s="259"/>
    </row>
    <row r="42" spans="1:8" ht="15.95" customHeight="1">
      <c r="B42" s="270" t="s">
        <v>91</v>
      </c>
      <c r="C42" s="276"/>
      <c r="D42" s="228" t="s">
        <v>92</v>
      </c>
      <c r="E42" s="274" t="s">
        <v>93</v>
      </c>
      <c r="F42" s="285"/>
      <c r="G42" s="228" t="s">
        <v>92</v>
      </c>
      <c r="H42" s="274" t="s">
        <v>93</v>
      </c>
    </row>
    <row r="43" spans="1:8" ht="15.95" customHeight="1">
      <c r="B43" s="270" t="s">
        <v>94</v>
      </c>
      <c r="C43" s="289">
        <f>C42-C44-C45</f>
        <v>0</v>
      </c>
      <c r="D43" s="279">
        <v>1</v>
      </c>
      <c r="E43" s="248">
        <f>C43*D43</f>
        <v>0</v>
      </c>
      <c r="F43" s="291">
        <f>F42-F44-F45</f>
        <v>0</v>
      </c>
      <c r="G43" s="279">
        <v>1</v>
      </c>
      <c r="H43" s="248">
        <f>F43*G43</f>
        <v>0</v>
      </c>
    </row>
    <row r="44" spans="1:8" ht="15.95" customHeight="1">
      <c r="B44" s="270" t="s">
        <v>95</v>
      </c>
      <c r="C44" s="278"/>
      <c r="D44" s="279">
        <v>1.3</v>
      </c>
      <c r="E44" s="248">
        <f>C44*D44</f>
        <v>0</v>
      </c>
      <c r="F44" s="286"/>
      <c r="G44" s="279">
        <v>1.3</v>
      </c>
      <c r="H44" s="248">
        <f>F44*G44</f>
        <v>0</v>
      </c>
    </row>
    <row r="45" spans="1:8" ht="15.95" customHeight="1">
      <c r="B45" s="270" t="s">
        <v>96</v>
      </c>
      <c r="C45" s="282"/>
      <c r="D45" s="283">
        <v>1.5</v>
      </c>
      <c r="E45" s="248">
        <f>C45*D45</f>
        <v>0</v>
      </c>
      <c r="F45" s="287"/>
      <c r="G45" s="283">
        <v>1.5</v>
      </c>
      <c r="H45" s="248">
        <f>F45*G45</f>
        <v>0</v>
      </c>
    </row>
    <row r="46" spans="1:8" ht="15.95" customHeight="1" thickBot="1">
      <c r="B46" s="271"/>
      <c r="C46" s="273"/>
      <c r="D46" s="298" t="s">
        <v>97</v>
      </c>
      <c r="E46" s="288">
        <f>SUM(E43:E45)</f>
        <v>0</v>
      </c>
      <c r="F46" s="262"/>
      <c r="G46" s="298" t="s">
        <v>97</v>
      </c>
      <c r="H46" s="288">
        <f>SUM(H43:H45)</f>
        <v>0</v>
      </c>
    </row>
    <row r="47" spans="1:8" ht="15.95" customHeight="1">
      <c r="B47" s="272"/>
      <c r="D47" s="269" t="s">
        <v>64</v>
      </c>
      <c r="E47" s="259"/>
      <c r="F47" s="98"/>
      <c r="G47" s="269" t="s">
        <v>65</v>
      </c>
      <c r="H47" s="259"/>
    </row>
    <row r="48" spans="1:8" ht="15.95" customHeight="1">
      <c r="B48" s="270" t="s">
        <v>91</v>
      </c>
      <c r="C48" s="276"/>
      <c r="D48" s="228" t="s">
        <v>92</v>
      </c>
      <c r="E48" s="274" t="s">
        <v>93</v>
      </c>
      <c r="F48" s="285"/>
      <c r="G48" s="228" t="s">
        <v>92</v>
      </c>
      <c r="H48" s="274" t="s">
        <v>93</v>
      </c>
    </row>
    <row r="49" spans="1:8" ht="15.95" customHeight="1">
      <c r="B49" s="270" t="s">
        <v>94</v>
      </c>
      <c r="C49" s="289">
        <f>C48-C50-C51</f>
        <v>0</v>
      </c>
      <c r="D49" s="279">
        <v>1</v>
      </c>
      <c r="E49" s="248">
        <f>C49*D49</f>
        <v>0</v>
      </c>
      <c r="F49" s="291">
        <f>F48-F50-F51</f>
        <v>0</v>
      </c>
      <c r="G49" s="279">
        <v>1</v>
      </c>
      <c r="H49" s="248">
        <f>F49*G49</f>
        <v>0</v>
      </c>
    </row>
    <row r="50" spans="1:8" ht="15.95" customHeight="1">
      <c r="B50" s="270" t="s">
        <v>95</v>
      </c>
      <c r="C50" s="278"/>
      <c r="D50" s="279">
        <v>1.3</v>
      </c>
      <c r="E50" s="248">
        <f>C50*D50</f>
        <v>0</v>
      </c>
      <c r="F50" s="286"/>
      <c r="G50" s="279">
        <v>1.3</v>
      </c>
      <c r="H50" s="248">
        <f>F50*G50</f>
        <v>0</v>
      </c>
    </row>
    <row r="51" spans="1:8" ht="15.95" customHeight="1">
      <c r="B51" s="270" t="s">
        <v>96</v>
      </c>
      <c r="C51" s="282"/>
      <c r="D51" s="283">
        <v>1.5</v>
      </c>
      <c r="E51" s="248">
        <f>C51*D51</f>
        <v>0</v>
      </c>
      <c r="F51" s="287"/>
      <c r="G51" s="283">
        <v>1.5</v>
      </c>
      <c r="H51" s="248">
        <f>F51*G51</f>
        <v>0</v>
      </c>
    </row>
    <row r="52" spans="1:8" ht="15.95" customHeight="1">
      <c r="B52" s="271"/>
      <c r="C52"/>
      <c r="D52" s="319" t="s">
        <v>97</v>
      </c>
      <c r="E52" s="320">
        <f>SUM(E49:E51)</f>
        <v>0</v>
      </c>
      <c r="G52" s="319" t="s">
        <v>97</v>
      </c>
      <c r="H52" s="320">
        <f>SUM(H49:H51)</f>
        <v>0</v>
      </c>
    </row>
    <row r="53" spans="1:8" ht="31.5" customHeight="1" thickBot="1">
      <c r="A53" s="259"/>
      <c r="B53" s="321"/>
      <c r="C53" s="384" t="s">
        <v>98</v>
      </c>
      <c r="D53" s="384"/>
      <c r="E53" s="384"/>
      <c r="F53" s="384"/>
      <c r="G53" s="384"/>
      <c r="H53" s="385"/>
    </row>
    <row r="54" spans="1:8" ht="12" customHeight="1"/>
    <row r="55" spans="1:8" ht="20.25" customHeight="1" thickBot="1">
      <c r="A55" s="23"/>
      <c r="B55" s="380" t="s">
        <v>99</v>
      </c>
      <c r="C55" s="381"/>
      <c r="D55" s="381"/>
      <c r="E55" s="381"/>
      <c r="F55" s="381"/>
      <c r="G55" s="381"/>
      <c r="H55" s="381"/>
    </row>
    <row r="56" spans="1:8" ht="15.95" customHeight="1">
      <c r="C56" s="295" t="s">
        <v>60</v>
      </c>
      <c r="D56" s="237" t="s">
        <v>61</v>
      </c>
      <c r="E56" s="237" t="s">
        <v>62</v>
      </c>
      <c r="F56" s="237" t="s">
        <v>63</v>
      </c>
      <c r="G56" s="237" t="s">
        <v>64</v>
      </c>
      <c r="H56" s="238" t="s">
        <v>65</v>
      </c>
    </row>
    <row r="57" spans="1:8" ht="15.95" customHeight="1" thickBot="1">
      <c r="B57" s="236" t="s">
        <v>100</v>
      </c>
      <c r="C57" s="296" t="str">
        <f>IF($C$28="","",IF($E$40=0,"",$C$28/$E$40))</f>
        <v/>
      </c>
      <c r="D57" s="296" t="str">
        <f>IF($D$28="","",IF($H$40=0,"",$D$28/$H$40))</f>
        <v/>
      </c>
      <c r="E57" s="296" t="str">
        <f>IF($E$28="","",IF($E$46=0,"",$E$28/$E$46))</f>
        <v/>
      </c>
      <c r="F57" s="296" t="str">
        <f>IF($F$28="","",IF($H$46=0,"",$F$28/$H$46))</f>
        <v/>
      </c>
      <c r="G57" s="296" t="str">
        <f>IF($G$28="","",IF($E$52=0,"",$G$28/$E$52))</f>
        <v/>
      </c>
      <c r="H57" s="296" t="str">
        <f>IF($H$28="","",IF($H$52=0,"",$H$28/$H$52))</f>
        <v/>
      </c>
    </row>
    <row r="58" spans="1:8" ht="12" customHeight="1" thickBot="1"/>
    <row r="59" spans="1:8" ht="15.95" customHeight="1" thickBot="1">
      <c r="D59" s="275" t="s">
        <v>101</v>
      </c>
      <c r="E59" s="297">
        <f>MIN(C57:H57)</f>
        <v>0</v>
      </c>
    </row>
    <row r="60" spans="1:8" ht="12" customHeight="1"/>
    <row r="61" spans="1:8" ht="20.25" customHeight="1" thickBot="1">
      <c r="B61" s="380" t="s">
        <v>102</v>
      </c>
      <c r="C61" s="381"/>
      <c r="D61" s="381"/>
      <c r="E61" s="381"/>
      <c r="F61" s="381"/>
      <c r="G61" s="381"/>
      <c r="H61" s="381"/>
    </row>
    <row r="62" spans="1:8" ht="12" customHeight="1"/>
    <row r="63" spans="1:8" ht="15.95" customHeight="1">
      <c r="D63" s="236" t="s">
        <v>103</v>
      </c>
      <c r="E63" s="304"/>
      <c r="F63" s="305"/>
      <c r="G63" s="306"/>
    </row>
    <row r="64" spans="1:8" ht="15.95" customHeight="1">
      <c r="D64" s="236" t="s">
        <v>104</v>
      </c>
      <c r="E64" s="318"/>
    </row>
    <row r="65" spans="4:5" ht="12" customHeight="1" thickBot="1"/>
    <row r="66" spans="4:5" ht="15.95" customHeight="1" thickBot="1">
      <c r="D66" s="275" t="s">
        <v>105</v>
      </c>
      <c r="E66" s="297">
        <f>IF(E59=0,E64,MIN(E59,E64))</f>
        <v>0</v>
      </c>
    </row>
  </sheetData>
  <mergeCells count="8">
    <mergeCell ref="B34:H34"/>
    <mergeCell ref="B55:H55"/>
    <mergeCell ref="B61:H61"/>
    <mergeCell ref="C4:D4"/>
    <mergeCell ref="C5:D5"/>
    <mergeCell ref="C6:D6"/>
    <mergeCell ref="B10:H10"/>
    <mergeCell ref="C53:H53"/>
  </mergeCells>
  <phoneticPr fontId="0" type="noConversion"/>
  <printOptions horizontalCentered="1"/>
  <pageMargins left="0.5" right="0.5" top="1" bottom="1" header="0.5" footer="0.5"/>
  <pageSetup scale="63" orientation="portrait" r:id="rId1"/>
  <headerFooter alignWithMargins="0">
    <oddFooter xml:space="preserve">&amp;L&amp;8City of Chicago
Dept. of Water Management&amp;C&amp;8Permit Application&amp;R&amp;8&amp;A
Page&amp;P </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L94"/>
  <sheetViews>
    <sheetView showGridLines="0" zoomScaleNormal="100" workbookViewId="0">
      <selection activeCell="D13" sqref="D13"/>
    </sheetView>
  </sheetViews>
  <sheetFormatPr defaultRowHeight="12.75"/>
  <cols>
    <col min="1" max="1" width="14.85546875" customWidth="1"/>
    <col min="2" max="2" width="18.42578125" customWidth="1"/>
    <col min="3" max="3" width="33.42578125" customWidth="1"/>
    <col min="4" max="4" width="14.85546875" customWidth="1"/>
    <col min="5" max="5" width="12.28515625" customWidth="1"/>
    <col min="6" max="6" width="11.140625" customWidth="1"/>
    <col min="7" max="7" width="12.7109375" customWidth="1"/>
    <col min="8" max="8" width="13.42578125" customWidth="1"/>
    <col min="9" max="9" width="14.85546875" customWidth="1"/>
  </cols>
  <sheetData>
    <row r="1" spans="1:10" ht="18">
      <c r="A1" s="104" t="s">
        <v>2</v>
      </c>
      <c r="B1" s="97"/>
      <c r="C1" s="97"/>
      <c r="D1" s="97"/>
      <c r="E1" s="97"/>
      <c r="F1" s="97"/>
      <c r="G1" s="97"/>
      <c r="H1" s="97"/>
    </row>
    <row r="2" spans="1:10" ht="18">
      <c r="A2" s="104" t="s">
        <v>3</v>
      </c>
      <c r="B2" s="97"/>
      <c r="C2" s="97"/>
      <c r="D2" s="97"/>
      <c r="E2" s="97"/>
      <c r="F2" s="97"/>
      <c r="G2" s="97"/>
      <c r="H2" s="97"/>
    </row>
    <row r="3" spans="1:10" ht="12.75" customHeight="1">
      <c r="A3" s="104"/>
      <c r="B3" s="97"/>
      <c r="C3" s="97"/>
      <c r="D3" s="97"/>
      <c r="E3" s="97"/>
      <c r="F3" s="97"/>
      <c r="G3" s="211"/>
      <c r="H3" s="208"/>
    </row>
    <row r="4" spans="1:10" ht="12.75" customHeight="1">
      <c r="A4" t="s">
        <v>54</v>
      </c>
      <c r="B4" s="96" t="str">
        <f>IF(COVER!$D$15="","",COVER!$D$15)</f>
        <v/>
      </c>
      <c r="C4" s="118"/>
      <c r="D4" s="97"/>
      <c r="E4" s="97"/>
      <c r="F4" s="97"/>
      <c r="G4" s="211"/>
      <c r="H4" s="208"/>
    </row>
    <row r="5" spans="1:10" ht="12.75" customHeight="1">
      <c r="A5" t="s">
        <v>55</v>
      </c>
      <c r="B5" s="119" t="str">
        <f>IF(COVER!$D$18="","",COVER!$D$18)</f>
        <v/>
      </c>
      <c r="C5" s="120"/>
      <c r="D5" s="97"/>
      <c r="E5" s="97"/>
      <c r="F5" s="97"/>
      <c r="G5" s="97"/>
      <c r="H5" s="97"/>
    </row>
    <row r="6" spans="1:10" ht="12.75" customHeight="1">
      <c r="A6" t="s">
        <v>56</v>
      </c>
      <c r="B6" s="119" t="str">
        <f>IF(COVER!$F$21="","",COVER!$F$21)</f>
        <v/>
      </c>
      <c r="C6" s="120"/>
      <c r="D6" s="97"/>
      <c r="E6" s="97"/>
      <c r="F6" s="97"/>
      <c r="G6" s="97"/>
      <c r="H6" s="97"/>
    </row>
    <row r="7" spans="1:10" ht="12.75" customHeight="1"/>
    <row r="8" spans="1:10" ht="18">
      <c r="A8" s="104" t="s">
        <v>106</v>
      </c>
    </row>
    <row r="9" spans="1:10">
      <c r="A9" s="3"/>
      <c r="C9" s="3"/>
      <c r="D9" s="3"/>
      <c r="E9" s="3"/>
      <c r="F9" s="5"/>
      <c r="G9" s="5"/>
      <c r="H9" s="5"/>
    </row>
    <row r="10" spans="1:10">
      <c r="A10" s="6"/>
      <c r="B10" s="7"/>
      <c r="C10" s="6"/>
      <c r="D10" s="6"/>
      <c r="E10" s="6"/>
      <c r="F10" s="6"/>
      <c r="G10" s="6"/>
      <c r="H10" s="6"/>
      <c r="I10" s="7"/>
      <c r="J10" s="7"/>
    </row>
    <row r="11" spans="1:10" ht="12.75" customHeight="1">
      <c r="A11" s="21" t="s">
        <v>107</v>
      </c>
      <c r="B11" s="4" t="s">
        <v>108</v>
      </c>
      <c r="C11" s="6"/>
      <c r="D11" s="403" t="s">
        <v>109</v>
      </c>
      <c r="E11" s="405" t="s">
        <v>110</v>
      </c>
      <c r="F11" s="396" t="s">
        <v>111</v>
      </c>
      <c r="G11" s="12"/>
      <c r="H11" s="7"/>
      <c r="I11" s="7"/>
      <c r="J11" s="7"/>
    </row>
    <row r="12" spans="1:10" ht="30.75" customHeight="1" thickBot="1">
      <c r="A12" s="6"/>
      <c r="B12" s="6"/>
      <c r="C12" s="6"/>
      <c r="D12" s="404"/>
      <c r="E12" s="406"/>
      <c r="F12" s="397"/>
      <c r="G12" s="46"/>
      <c r="H12" s="7"/>
      <c r="I12" s="7"/>
      <c r="J12" s="7"/>
    </row>
    <row r="13" spans="1:10">
      <c r="A13" s="6"/>
      <c r="B13" s="407" t="s">
        <v>112</v>
      </c>
      <c r="C13" s="107" t="s">
        <v>113</v>
      </c>
      <c r="D13" s="108"/>
      <c r="E13" s="109">
        <v>0.18</v>
      </c>
      <c r="F13" s="105">
        <f t="shared" ref="F13:F28" si="0">D13*E13</f>
        <v>0</v>
      </c>
      <c r="H13" s="7"/>
      <c r="I13" s="7"/>
      <c r="J13" s="7"/>
    </row>
    <row r="14" spans="1:10">
      <c r="A14" s="6"/>
      <c r="B14" s="408"/>
      <c r="C14" s="8" t="s">
        <v>114</v>
      </c>
      <c r="D14" s="37"/>
      <c r="E14" s="110">
        <v>0.27</v>
      </c>
      <c r="F14" s="106">
        <f t="shared" si="0"/>
        <v>0</v>
      </c>
      <c r="H14" s="7"/>
      <c r="I14" s="7"/>
      <c r="J14" s="7"/>
    </row>
    <row r="15" spans="1:10">
      <c r="A15" s="6"/>
      <c r="B15" s="408"/>
      <c r="C15" s="8" t="s">
        <v>115</v>
      </c>
      <c r="D15" s="37"/>
      <c r="E15" s="110">
        <v>0.36</v>
      </c>
      <c r="F15" s="106">
        <f t="shared" si="0"/>
        <v>0</v>
      </c>
      <c r="H15" s="7"/>
      <c r="I15" s="7"/>
      <c r="J15" s="7"/>
    </row>
    <row r="16" spans="1:10">
      <c r="A16" s="6"/>
      <c r="B16" s="408"/>
      <c r="C16" s="8" t="s">
        <v>116</v>
      </c>
      <c r="D16" s="37"/>
      <c r="E16" s="110">
        <v>0.3</v>
      </c>
      <c r="F16" s="106">
        <f t="shared" si="0"/>
        <v>0</v>
      </c>
      <c r="H16" s="7"/>
      <c r="I16" s="7"/>
      <c r="J16" s="7"/>
    </row>
    <row r="17" spans="1:12">
      <c r="A17" s="6"/>
      <c r="B17" s="408"/>
      <c r="C17" s="8" t="s">
        <v>117</v>
      </c>
      <c r="D17" s="37"/>
      <c r="E17" s="110">
        <v>0.42</v>
      </c>
      <c r="F17" s="106">
        <f t="shared" si="0"/>
        <v>0</v>
      </c>
      <c r="H17" s="7"/>
      <c r="I17" s="7"/>
      <c r="J17" s="7"/>
    </row>
    <row r="18" spans="1:12">
      <c r="A18" s="6"/>
      <c r="B18" s="408"/>
      <c r="C18" s="8" t="s">
        <v>118</v>
      </c>
      <c r="D18" s="37"/>
      <c r="E18" s="110">
        <v>0.47</v>
      </c>
      <c r="F18" s="106">
        <f t="shared" si="0"/>
        <v>0</v>
      </c>
      <c r="H18" s="7"/>
      <c r="I18" s="7"/>
      <c r="J18" s="7"/>
    </row>
    <row r="19" spans="1:12">
      <c r="A19" s="6"/>
      <c r="B19" s="409"/>
      <c r="C19" s="8" t="s">
        <v>119</v>
      </c>
      <c r="D19" s="37"/>
      <c r="E19" s="110">
        <v>0.39</v>
      </c>
      <c r="F19" s="106">
        <f t="shared" si="0"/>
        <v>0</v>
      </c>
      <c r="H19" s="7"/>
      <c r="I19" s="7"/>
      <c r="J19" s="7"/>
    </row>
    <row r="20" spans="1:12">
      <c r="A20" s="6"/>
      <c r="B20" s="409"/>
      <c r="C20" s="8" t="s">
        <v>120</v>
      </c>
      <c r="D20" s="37"/>
      <c r="E20" s="110">
        <v>0.1</v>
      </c>
      <c r="F20" s="106">
        <f t="shared" si="0"/>
        <v>0</v>
      </c>
      <c r="H20" s="7"/>
      <c r="I20" s="7"/>
      <c r="J20" s="7"/>
    </row>
    <row r="21" spans="1:12">
      <c r="A21" s="6"/>
      <c r="B21" s="409"/>
      <c r="C21" s="8" t="s">
        <v>121</v>
      </c>
      <c r="D21" s="37"/>
      <c r="E21" s="110">
        <v>0.75</v>
      </c>
      <c r="F21" s="106">
        <f t="shared" si="0"/>
        <v>0</v>
      </c>
      <c r="H21" s="7"/>
      <c r="I21" s="7"/>
      <c r="J21" s="7"/>
    </row>
    <row r="22" spans="1:12">
      <c r="A22" s="6"/>
      <c r="B22" s="409"/>
      <c r="C22" s="202" t="s">
        <v>122</v>
      </c>
      <c r="D22" s="203"/>
      <c r="E22" s="204">
        <v>0.8</v>
      </c>
      <c r="F22" s="106">
        <f t="shared" si="0"/>
        <v>0</v>
      </c>
      <c r="H22" s="7"/>
      <c r="I22" s="7"/>
      <c r="J22" s="7"/>
    </row>
    <row r="23" spans="1:12" ht="13.5" thickBot="1">
      <c r="A23" s="6"/>
      <c r="B23" s="410"/>
      <c r="C23" s="111" t="s">
        <v>123</v>
      </c>
      <c r="D23" s="112"/>
      <c r="E23" s="205">
        <v>0.5</v>
      </c>
      <c r="F23" s="106">
        <f t="shared" si="0"/>
        <v>0</v>
      </c>
      <c r="H23" s="7"/>
      <c r="I23" s="7"/>
      <c r="J23" s="7"/>
    </row>
    <row r="24" spans="1:12">
      <c r="A24" s="6"/>
      <c r="B24" s="407" t="s">
        <v>124</v>
      </c>
      <c r="C24" s="107" t="s">
        <v>125</v>
      </c>
      <c r="D24" s="108"/>
      <c r="E24" s="109">
        <v>0.7</v>
      </c>
      <c r="F24" s="106">
        <f t="shared" si="0"/>
        <v>0</v>
      </c>
      <c r="H24" s="7"/>
      <c r="I24" s="7"/>
      <c r="J24" s="7"/>
    </row>
    <row r="25" spans="1:12">
      <c r="A25" s="6"/>
      <c r="B25" s="408"/>
      <c r="C25" s="8" t="s">
        <v>126</v>
      </c>
      <c r="D25" s="37"/>
      <c r="E25" s="110">
        <v>0.95</v>
      </c>
      <c r="F25" s="106">
        <f t="shared" si="0"/>
        <v>0</v>
      </c>
      <c r="H25" s="7"/>
      <c r="I25" s="7"/>
      <c r="J25" s="7"/>
    </row>
    <row r="26" spans="1:12">
      <c r="A26" s="6"/>
      <c r="B26" s="408"/>
      <c r="C26" s="8" t="s">
        <v>127</v>
      </c>
      <c r="D26" s="37"/>
      <c r="E26" s="110">
        <v>0.95</v>
      </c>
      <c r="F26" s="106">
        <f t="shared" si="0"/>
        <v>0</v>
      </c>
      <c r="H26" s="7"/>
      <c r="I26" s="7"/>
      <c r="J26" s="7"/>
    </row>
    <row r="27" spans="1:12" ht="51">
      <c r="A27" s="6"/>
      <c r="B27" s="408"/>
      <c r="C27" s="26" t="s">
        <v>128</v>
      </c>
      <c r="D27" s="37"/>
      <c r="E27" s="110">
        <v>0.95</v>
      </c>
      <c r="F27" s="106">
        <f t="shared" si="0"/>
        <v>0</v>
      </c>
      <c r="H27" s="7"/>
      <c r="I27" s="7"/>
      <c r="J27" s="7"/>
    </row>
    <row r="28" spans="1:12" ht="13.5" thickBot="1">
      <c r="A28" s="6"/>
      <c r="B28" s="411"/>
      <c r="C28" s="111" t="s">
        <v>129</v>
      </c>
      <c r="D28" s="112"/>
      <c r="E28" s="113">
        <v>1</v>
      </c>
      <c r="F28" s="106">
        <f t="shared" si="0"/>
        <v>0</v>
      </c>
      <c r="H28" s="7"/>
      <c r="I28" s="7"/>
      <c r="J28" s="7"/>
    </row>
    <row r="29" spans="1:12" ht="42" customHeight="1">
      <c r="A29" s="6"/>
      <c r="B29" s="398" t="s">
        <v>130</v>
      </c>
      <c r="C29" s="218" t="s">
        <v>131</v>
      </c>
      <c r="D29" s="219">
        <f>'1.2 BMPs-Rate Control Credit'!D33</f>
        <v>0</v>
      </c>
      <c r="E29" s="220">
        <v>1</v>
      </c>
      <c r="F29" s="102"/>
      <c r="H29" s="7"/>
      <c r="I29" s="7"/>
      <c r="J29" s="7"/>
      <c r="L29" s="75"/>
    </row>
    <row r="30" spans="1:12" ht="55.5" customHeight="1" thickBot="1">
      <c r="A30" s="6"/>
      <c r="B30" s="399"/>
      <c r="C30" s="221" t="s">
        <v>132</v>
      </c>
      <c r="D30" s="222">
        <f>'1.2 BMPs-Rate Control Credit'!D51</f>
        <v>0</v>
      </c>
      <c r="E30" s="223" t="s">
        <v>133</v>
      </c>
      <c r="F30" s="217">
        <f>'1.2 BMPs-Rate Control Credit'!E51</f>
        <v>0</v>
      </c>
      <c r="H30" s="7"/>
      <c r="I30" s="7"/>
      <c r="J30" s="7"/>
      <c r="L30" s="75"/>
    </row>
    <row r="31" spans="1:12" ht="29.25" customHeight="1">
      <c r="A31" s="6"/>
      <c r="B31" s="9"/>
      <c r="C31" s="84"/>
      <c r="D31" s="85"/>
      <c r="E31" s="13"/>
      <c r="F31" s="7"/>
      <c r="H31" s="7"/>
      <c r="I31" s="7"/>
      <c r="J31" s="7"/>
      <c r="L31" s="75"/>
    </row>
    <row r="32" spans="1:12">
      <c r="A32" s="6"/>
      <c r="B32" s="9"/>
      <c r="C32" s="6"/>
      <c r="D32" s="6"/>
      <c r="E32" s="6"/>
      <c r="F32" s="7"/>
      <c r="G32" s="14"/>
      <c r="H32" s="14"/>
      <c r="I32" s="7"/>
      <c r="J32" s="7"/>
    </row>
    <row r="33" spans="1:10">
      <c r="A33" s="6"/>
      <c r="B33" s="386" t="s">
        <v>134</v>
      </c>
      <c r="C33" s="10" t="s">
        <v>135</v>
      </c>
      <c r="D33" s="183">
        <f>SUM(D13:D23)</f>
        <v>0</v>
      </c>
      <c r="E33" s="35" t="s">
        <v>15</v>
      </c>
      <c r="F33" s="7"/>
      <c r="G33" s="7"/>
      <c r="H33" s="6"/>
      <c r="I33" s="7"/>
      <c r="J33" s="7"/>
    </row>
    <row r="34" spans="1:10">
      <c r="A34" s="6"/>
      <c r="B34" s="387"/>
      <c r="C34" s="10" t="s">
        <v>136</v>
      </c>
      <c r="D34" s="183">
        <f>SUM(D24:D28)</f>
        <v>0</v>
      </c>
      <c r="E34" s="35" t="s">
        <v>15</v>
      </c>
      <c r="F34" s="7"/>
      <c r="G34" s="7"/>
      <c r="H34" s="6"/>
      <c r="I34" s="7"/>
      <c r="J34" s="7"/>
    </row>
    <row r="35" spans="1:10">
      <c r="A35" s="6"/>
      <c r="B35" s="387"/>
      <c r="C35" s="10" t="s">
        <v>137</v>
      </c>
      <c r="D35" s="183">
        <f>SUM(D29:D30)</f>
        <v>0</v>
      </c>
      <c r="E35" s="35" t="s">
        <v>15</v>
      </c>
      <c r="F35" s="7"/>
      <c r="G35" s="7"/>
      <c r="H35" s="6"/>
      <c r="I35" s="7"/>
      <c r="J35" s="7"/>
    </row>
    <row r="36" spans="1:10">
      <c r="A36" s="6"/>
      <c r="B36" s="387"/>
      <c r="C36" s="10" t="s">
        <v>138</v>
      </c>
      <c r="D36" s="183">
        <f>SUM(D33:D35)</f>
        <v>0</v>
      </c>
      <c r="E36" s="35" t="s">
        <v>15</v>
      </c>
      <c r="F36" s="347">
        <f>D36/43560</f>
        <v>0</v>
      </c>
      <c r="G36" s="35" t="s">
        <v>16</v>
      </c>
      <c r="H36" s="6"/>
      <c r="I36" s="7"/>
      <c r="J36" s="7"/>
    </row>
    <row r="37" spans="1:10">
      <c r="A37" s="6"/>
      <c r="B37" s="387"/>
      <c r="C37" s="10" t="s">
        <v>139</v>
      </c>
      <c r="D37" s="346">
        <f>D36-D27</f>
        <v>0</v>
      </c>
      <c r="E37" s="35" t="s">
        <v>15</v>
      </c>
      <c r="F37" s="347">
        <f>D37/43560</f>
        <v>0</v>
      </c>
      <c r="G37" s="35" t="s">
        <v>16</v>
      </c>
      <c r="H37" s="6"/>
      <c r="I37" s="7"/>
      <c r="J37" s="7"/>
    </row>
    <row r="38" spans="1:10">
      <c r="A38" s="6"/>
      <c r="B38" s="387"/>
      <c r="C38" s="10" t="s">
        <v>140</v>
      </c>
      <c r="D38" s="184">
        <f>IF(D33+D34=0,0,SUM(F13:F28)/(D33+D34))</f>
        <v>0</v>
      </c>
      <c r="E38" s="35" t="s">
        <v>141</v>
      </c>
      <c r="F38" s="7"/>
      <c r="G38" s="7"/>
      <c r="H38" s="6"/>
      <c r="I38" s="7"/>
      <c r="J38" s="7"/>
    </row>
    <row r="39" spans="1:10">
      <c r="A39" s="6"/>
      <c r="B39" s="388"/>
      <c r="C39" s="77" t="s">
        <v>142</v>
      </c>
      <c r="D39" s="184">
        <f>IF(D35=0,0,IF(D30&lt;&gt;0,IF(1-F30/((5.713/12)*D30)&lt;=0.1,(((D33+D34)*D38)+(D29*E29)+(D30*(0.1)))/D36,(((D33+D34)*D38)+(D29*E29)+(D30*(1-F30/((5.713/12)*D30))))/D36),(((D33+D34)*D38)+(D29*E29))/D36))</f>
        <v>0</v>
      </c>
      <c r="E39" s="35" t="s">
        <v>141</v>
      </c>
      <c r="H39" s="6"/>
      <c r="I39" s="7"/>
    </row>
    <row r="40" spans="1:10" ht="54.75" customHeight="1">
      <c r="A40" s="6"/>
      <c r="C40" s="114" t="s">
        <v>143</v>
      </c>
      <c r="D40" s="412" t="s">
        <v>144</v>
      </c>
      <c r="E40" s="413"/>
      <c r="F40" s="414"/>
      <c r="H40" s="6"/>
      <c r="I40" s="7"/>
    </row>
    <row r="41" spans="1:10">
      <c r="A41" s="6"/>
      <c r="C41" s="6"/>
      <c r="D41" s="18"/>
      <c r="E41" s="19"/>
      <c r="H41" s="6"/>
      <c r="I41" s="7"/>
    </row>
    <row r="42" spans="1:10">
      <c r="A42" s="6"/>
      <c r="C42" s="6"/>
      <c r="D42" s="18"/>
      <c r="E42" s="19"/>
      <c r="H42" s="6"/>
      <c r="I42" s="7"/>
    </row>
    <row r="43" spans="1:10" ht="25.5">
      <c r="A43" s="21" t="s">
        <v>145</v>
      </c>
      <c r="B43" s="20" t="s">
        <v>146</v>
      </c>
      <c r="C43" s="7"/>
      <c r="E43" s="417" t="s">
        <v>147</v>
      </c>
      <c r="F43" s="422" t="s">
        <v>148</v>
      </c>
      <c r="G43" s="423"/>
      <c r="H43" s="423"/>
      <c r="I43" s="424"/>
    </row>
    <row r="44" spans="1:10">
      <c r="A44" s="6"/>
      <c r="B44" s="15"/>
      <c r="C44" s="6"/>
      <c r="E44" s="418"/>
      <c r="F44" s="425"/>
      <c r="G44" s="426"/>
      <c r="H44" s="426"/>
      <c r="I44" s="427"/>
    </row>
    <row r="45" spans="1:10" ht="42.75" customHeight="1">
      <c r="A45" s="2"/>
      <c r="B45" s="24" t="s">
        <v>149</v>
      </c>
      <c r="C45" s="389" t="s">
        <v>150</v>
      </c>
      <c r="D45" s="389"/>
      <c r="E45" s="41"/>
      <c r="F45" s="391" t="str">
        <f>IF(E45="yes", "Roof area can be directed to Waters and not included in detention calculations, delete roof from table above and make note to that effect, release rate is based on 1 cfs/ac.", " ")</f>
        <v xml:space="preserve"> </v>
      </c>
      <c r="G45" s="392"/>
      <c r="H45" s="392"/>
      <c r="I45" s="393"/>
    </row>
    <row r="46" spans="1:10" ht="66" customHeight="1">
      <c r="A46" s="2"/>
      <c r="B46" s="24" t="s">
        <v>151</v>
      </c>
      <c r="C46" s="389" t="s">
        <v>152</v>
      </c>
      <c r="D46" s="389"/>
      <c r="E46" s="41"/>
      <c r="F46" s="391" t="str">
        <f>IF(E46="yes", "On-site detention storage to be provided for minimum 5-year event, enter appropriate design storm in Cell C72; attach another worksheet for 100-year event for total required storage (may be provided in ROW when conditions are met (Regs, Part 3.7.1))", " ")</f>
        <v xml:space="preserve"> </v>
      </c>
      <c r="G46" s="392"/>
      <c r="H46" s="392"/>
      <c r="I46" s="393"/>
    </row>
    <row r="47" spans="1:10" ht="64.5" customHeight="1">
      <c r="A47" s="2"/>
      <c r="B47" s="24" t="s">
        <v>153</v>
      </c>
      <c r="C47" s="389" t="s">
        <v>154</v>
      </c>
      <c r="D47" s="389"/>
      <c r="E47" s="41"/>
      <c r="F47" s="391" t="str">
        <f>IF(E47="yes", "Building detention to be provided for min. 10-year event. Change design storm in Cell C72.  Remainder of site must detain for the 100-year event. Split the allowable release rate proportionally between the building and non-building areas of the site.", "")</f>
        <v/>
      </c>
      <c r="G47" s="392"/>
      <c r="H47" s="392"/>
      <c r="I47" s="393"/>
    </row>
    <row r="48" spans="1:10" ht="43.5" customHeight="1">
      <c r="A48" s="2"/>
      <c r="B48" s="24" t="s">
        <v>155</v>
      </c>
      <c r="C48" s="389" t="s">
        <v>156</v>
      </c>
      <c r="D48" s="389"/>
      <c r="E48" s="41"/>
      <c r="F48" s="391" t="str">
        <f>IF(E48="yes",IF(D36&lt;1.75*43560,"Standard Detention Release Rate based on total site area excluding sidewalls (cell D37)","Site is larger than 1.75 acres and can't use standard maximum release rate, type no instead"),IF(E48="no","Complete Tab 0.0 Release Rate to calculate the allowable release rate for the site unless a 1 cfs/ac release rate to waters will be used."," "))</f>
        <v xml:space="preserve"> </v>
      </c>
      <c r="G48" s="392"/>
      <c r="H48" s="392"/>
      <c r="I48" s="393"/>
    </row>
    <row r="49" spans="1:9" ht="55.5" customHeight="1">
      <c r="A49" s="2"/>
      <c r="B49" s="24" t="s">
        <v>157</v>
      </c>
      <c r="C49" s="389" t="s">
        <v>158</v>
      </c>
      <c r="D49" s="389"/>
      <c r="E49" s="41"/>
      <c r="F49" s="391" t="str">
        <f>IF(E49="yes","Detention Release Rate must be 0.75 cfs per acre or less unless total release rate is limited to minimum practical rate (0.15 cfs) "," ")</f>
        <v xml:space="preserve"> </v>
      </c>
      <c r="G49" s="392"/>
      <c r="H49" s="392"/>
      <c r="I49" s="393"/>
    </row>
    <row r="50" spans="1:9" ht="54" customHeight="1">
      <c r="A50" s="2"/>
      <c r="B50" s="24" t="s">
        <v>159</v>
      </c>
      <c r="C50" s="389" t="s">
        <v>160</v>
      </c>
      <c r="D50" s="389"/>
      <c r="E50" s="41"/>
      <c r="F50" s="391" t="str">
        <f>IF(E50="yes","Special computational procedure required to determine allowable release rate, see Stormwater Manual."," ")</f>
        <v xml:space="preserve"> </v>
      </c>
      <c r="G50" s="392"/>
      <c r="H50" s="392"/>
      <c r="I50" s="393"/>
    </row>
    <row r="51" spans="1:9" ht="54" customHeight="1">
      <c r="A51" s="2"/>
      <c r="B51" s="24" t="s">
        <v>161</v>
      </c>
      <c r="C51" s="389" t="s">
        <v>162</v>
      </c>
      <c r="D51" s="389"/>
      <c r="E51" s="41"/>
      <c r="F51" s="391" t="str">
        <f>IF(E51="yes","Oversized detention is allowed to meet volume control requirements.  After completing this worksheet, fill out Tab 2.1.9 to design oversized detention.",IF(E51="no","Oversized detention is not allowed.  Do not fill out Tab 2.1.9"," "))</f>
        <v xml:space="preserve"> </v>
      </c>
      <c r="G51" s="392"/>
      <c r="H51" s="392"/>
      <c r="I51" s="393"/>
    </row>
    <row r="52" spans="1:9" ht="18">
      <c r="A52" s="104" t="s">
        <v>2</v>
      </c>
      <c r="B52" s="97"/>
      <c r="C52" s="97"/>
      <c r="D52" s="97"/>
      <c r="E52" s="97"/>
      <c r="F52" s="97"/>
      <c r="G52" s="97"/>
      <c r="H52" s="97"/>
    </row>
    <row r="53" spans="1:9" ht="18">
      <c r="A53" s="104" t="s">
        <v>163</v>
      </c>
      <c r="B53" s="97"/>
      <c r="C53" s="97"/>
      <c r="D53" s="97"/>
      <c r="E53" s="97"/>
      <c r="F53" s="97"/>
      <c r="G53" s="97"/>
      <c r="H53" s="97"/>
    </row>
    <row r="54" spans="1:9" ht="12.75" customHeight="1">
      <c r="A54" s="104"/>
      <c r="B54" s="97"/>
      <c r="C54" s="97"/>
      <c r="D54" s="97"/>
      <c r="E54" s="97"/>
      <c r="F54" s="97"/>
      <c r="G54" s="97"/>
      <c r="H54" s="97"/>
    </row>
    <row r="55" spans="1:9" ht="12.75" customHeight="1">
      <c r="A55" t="s">
        <v>54</v>
      </c>
      <c r="B55" s="96" t="str">
        <f>IF(COVER!$D$15="","",COVER!$D$15)</f>
        <v/>
      </c>
      <c r="C55" s="118"/>
      <c r="D55" s="97"/>
      <c r="E55" s="97"/>
      <c r="F55" s="97"/>
      <c r="G55" s="97"/>
      <c r="H55" s="97"/>
    </row>
    <row r="56" spans="1:9" ht="12.75" customHeight="1">
      <c r="A56" t="s">
        <v>55</v>
      </c>
      <c r="B56" s="119" t="str">
        <f>IF(COVER!$D$18="","",COVER!$D$18)</f>
        <v/>
      </c>
      <c r="C56" s="118"/>
      <c r="D56" s="97"/>
      <c r="E56" s="97"/>
      <c r="F56" s="97"/>
      <c r="G56" s="97"/>
      <c r="H56" s="97"/>
    </row>
    <row r="57" spans="1:9" ht="12.75" customHeight="1">
      <c r="A57" t="s">
        <v>56</v>
      </c>
      <c r="B57" s="119" t="str">
        <f>IF(COVER!$G$21="","",COVER!$G$21)</f>
        <v/>
      </c>
      <c r="C57" s="118"/>
      <c r="D57" s="97"/>
      <c r="E57" s="97"/>
      <c r="F57" s="97"/>
      <c r="G57" s="97"/>
      <c r="H57" s="97"/>
    </row>
    <row r="58" spans="1:9" ht="12.75" customHeight="1"/>
    <row r="59" spans="1:9" ht="18">
      <c r="A59" s="104" t="s">
        <v>164</v>
      </c>
    </row>
    <row r="60" spans="1:9" ht="12.75" customHeight="1">
      <c r="A60" s="104"/>
    </row>
    <row r="61" spans="1:9">
      <c r="A61" s="23" t="s">
        <v>165</v>
      </c>
      <c r="B61" s="22" t="s">
        <v>166</v>
      </c>
      <c r="C61" s="2"/>
      <c r="D61" s="2"/>
      <c r="E61" s="2"/>
      <c r="F61" s="2"/>
      <c r="G61" s="2"/>
      <c r="H61" s="2"/>
    </row>
    <row r="62" spans="1:9">
      <c r="A62" s="23"/>
      <c r="B62" s="22"/>
      <c r="C62" s="38"/>
      <c r="D62" s="2"/>
      <c r="E62" s="2"/>
      <c r="F62" s="2"/>
      <c r="G62" s="2"/>
      <c r="H62" s="2"/>
    </row>
    <row r="63" spans="1:9" ht="42" customHeight="1">
      <c r="A63" s="28"/>
      <c r="B63" s="27" t="s">
        <v>167</v>
      </c>
      <c r="C63" s="181">
        <f>IF(AND(E63="To be computed and entered in the cell to the right by applicant -&gt;",G63="")=TRUE,"Awaiting entry from the right",IF(ISNUMBER(E63)=FALSE,G63,E63))</f>
        <v>0</v>
      </c>
      <c r="D63" s="35" t="s">
        <v>168</v>
      </c>
      <c r="E63" s="415" t="str">
        <f>IF(E45="yes",(D36-D27)/43560,IF(E48="yes",IF(D36-D27&lt;=21780,0.15,IF(D36-D27&lt;43560,0.15+(D36-D27-21780)/21780*0.1,0.25)),IF(E48="no","Release Rate from Tab 0.0.  To override, enter value in the cell to the right -&gt;","Waiting for Answer to Question 1 and 4")))</f>
        <v>Waiting for Answer to Question 1 and 4</v>
      </c>
      <c r="F63" s="416"/>
      <c r="G63" s="314">
        <f>'0.0 RELEASE RATE'!E66*(D37)/43560</f>
        <v>0</v>
      </c>
      <c r="H63" s="2"/>
    </row>
    <row r="64" spans="1:9" ht="81.75" customHeight="1">
      <c r="A64" s="28"/>
      <c r="B64" s="27" t="s">
        <v>169</v>
      </c>
      <c r="C64" s="181">
        <f>'1.1 Dry Weather Flow'!E30</f>
        <v>0</v>
      </c>
      <c r="D64" s="35" t="s">
        <v>168</v>
      </c>
      <c r="E64" s="419" t="str">
        <f>IF(ISNUMBER(C63)=FALSE,"Awaiting other entries",IF(C64&gt;0.1*C63,"DWF exceeds 10% of maximum release rate, maximum release rate will be reduced in Cell D66 to account for DWF, if D65 is &gt; existing 5-year discharge (to be computed separately, then 25 GPM may be needed as release rate",IF(C64=0,"Waiting for Dry Weather Flow worksheet to be completed","DWF is less than 10% of maximum release rate and will not be included in release rate for storage computation")))</f>
        <v>Waiting for Dry Weather Flow worksheet to be completed</v>
      </c>
      <c r="F64" s="420"/>
      <c r="G64" s="421"/>
      <c r="H64" s="2"/>
    </row>
    <row r="65" spans="1:10" ht="49.5" customHeight="1">
      <c r="A65" s="28"/>
      <c r="B65" s="27" t="s">
        <v>170</v>
      </c>
      <c r="C65" s="181">
        <f>'1.2 BMPs-Rate Control Credit'!G33</f>
        <v>0</v>
      </c>
      <c r="D65" s="35" t="s">
        <v>168</v>
      </c>
      <c r="E65" s="400" t="str">
        <f>IF(C65=0,"No BMPs with infiltration beds entered on BMP Summary Worksheet or soil's infiltration rate is less than 0.5 in/hr", " ")</f>
        <v>No BMPs with infiltration beds entered on BMP Summary Worksheet or soil's infiltration rate is less than 0.5 in/hr</v>
      </c>
      <c r="F65" s="401"/>
      <c r="G65" s="402"/>
      <c r="H65" s="2"/>
    </row>
    <row r="66" spans="1:10" ht="45" customHeight="1">
      <c r="A66" s="28"/>
      <c r="B66" s="27" t="s">
        <v>171</v>
      </c>
      <c r="C66" s="182">
        <f>IF(C64&gt;0.1*C63,IF(1.1*C63-C64&lt;0.15,"0.15 or possibly 25 gpm, need to override Cell G72", 1.1*C63+C65-C64),C63+C65)</f>
        <v>0</v>
      </c>
      <c r="D66" s="35" t="s">
        <v>168</v>
      </c>
      <c r="E66" s="394"/>
      <c r="F66" s="395"/>
      <c r="G66" s="395"/>
      <c r="H66" s="2"/>
    </row>
    <row r="67" spans="1:10" ht="31.5" customHeight="1">
      <c r="A67" s="28"/>
      <c r="B67" s="27" t="s">
        <v>172</v>
      </c>
      <c r="C67" s="183">
        <f>I92</f>
        <v>0</v>
      </c>
      <c r="D67" s="35" t="s">
        <v>173</v>
      </c>
      <c r="E67" s="7"/>
      <c r="F67" s="7"/>
      <c r="G67" s="7"/>
      <c r="H67" s="2"/>
    </row>
    <row r="68" spans="1:10" ht="42" customHeight="1">
      <c r="A68" s="11"/>
      <c r="B68" s="390"/>
      <c r="C68" s="390"/>
      <c r="D68" s="390"/>
      <c r="E68" s="7"/>
      <c r="F68" s="7"/>
      <c r="G68" s="7"/>
      <c r="H68" s="2"/>
    </row>
    <row r="69" spans="1:10" ht="17.25" customHeight="1">
      <c r="A69" s="30" t="s">
        <v>174</v>
      </c>
      <c r="B69" s="53"/>
      <c r="C69" s="53"/>
      <c r="D69" s="53"/>
      <c r="E69" s="53"/>
      <c r="F69" s="53"/>
      <c r="G69" s="53"/>
      <c r="H69" s="53"/>
      <c r="I69" s="54"/>
      <c r="J69" s="29"/>
    </row>
    <row r="70" spans="1:10">
      <c r="A70" s="7" t="s">
        <v>175</v>
      </c>
      <c r="B70" s="31"/>
      <c r="C70" s="31"/>
      <c r="D70" s="33"/>
      <c r="E70" s="53"/>
      <c r="F70" s="31"/>
      <c r="G70" s="31"/>
      <c r="H70" s="31"/>
      <c r="I70" s="32"/>
      <c r="J70" s="29"/>
    </row>
    <row r="71" spans="1:10" ht="13.5" thickBot="1">
      <c r="A71" s="31"/>
      <c r="B71" s="31"/>
      <c r="C71" s="45" t="s">
        <v>176</v>
      </c>
      <c r="D71" s="33"/>
      <c r="E71" s="31"/>
      <c r="F71" s="31"/>
      <c r="G71" s="31"/>
      <c r="H71" s="31"/>
      <c r="I71" s="32"/>
      <c r="J71" s="29"/>
    </row>
    <row r="72" spans="1:10" ht="42" customHeight="1" thickTop="1" thickBot="1">
      <c r="A72" s="53"/>
      <c r="B72" s="53"/>
      <c r="C72" s="174">
        <v>100</v>
      </c>
      <c r="D72" s="53"/>
      <c r="E72" s="55" t="s">
        <v>177</v>
      </c>
      <c r="F72" s="56"/>
      <c r="G72" s="358">
        <f>C66</f>
        <v>0</v>
      </c>
      <c r="H72" s="57" t="s">
        <v>168</v>
      </c>
      <c r="I72" s="54"/>
      <c r="J72" s="29"/>
    </row>
    <row r="73" spans="1:10" ht="13.5" thickTop="1">
      <c r="A73" s="49"/>
      <c r="B73" s="49"/>
      <c r="C73" s="49"/>
      <c r="D73" s="49"/>
      <c r="E73" s="50" t="s">
        <v>178</v>
      </c>
      <c r="F73" s="50"/>
      <c r="G73" s="50" t="s">
        <v>179</v>
      </c>
      <c r="H73" s="50" t="s">
        <v>180</v>
      </c>
      <c r="I73" s="49" t="s">
        <v>180</v>
      </c>
      <c r="J73" s="29"/>
    </row>
    <row r="74" spans="1:10">
      <c r="A74" s="50" t="s">
        <v>181</v>
      </c>
      <c r="B74" s="50" t="s">
        <v>182</v>
      </c>
      <c r="C74" s="50" t="s">
        <v>183</v>
      </c>
      <c r="D74" s="50" t="s">
        <v>184</v>
      </c>
      <c r="E74" s="50" t="s">
        <v>185</v>
      </c>
      <c r="F74" s="50" t="s">
        <v>186</v>
      </c>
      <c r="G74" s="50" t="s">
        <v>185</v>
      </c>
      <c r="H74" s="50" t="s">
        <v>185</v>
      </c>
      <c r="I74" s="50" t="s">
        <v>187</v>
      </c>
      <c r="J74" s="29"/>
    </row>
    <row r="75" spans="1:10">
      <c r="A75" s="50" t="s">
        <v>188</v>
      </c>
      <c r="B75" s="50" t="s">
        <v>189</v>
      </c>
      <c r="C75" s="50" t="s">
        <v>190</v>
      </c>
      <c r="D75" s="50" t="s">
        <v>191</v>
      </c>
      <c r="E75" s="50" t="s">
        <v>192</v>
      </c>
      <c r="F75" s="50" t="s">
        <v>193</v>
      </c>
      <c r="G75" s="50" t="s">
        <v>194</v>
      </c>
      <c r="H75" s="50" t="s">
        <v>195</v>
      </c>
      <c r="I75" s="50" t="s">
        <v>196</v>
      </c>
      <c r="J75" s="29"/>
    </row>
    <row r="76" spans="1:10">
      <c r="A76" s="51" t="s">
        <v>197</v>
      </c>
      <c r="B76" s="51" t="s">
        <v>198</v>
      </c>
      <c r="C76" s="51" t="s">
        <v>199</v>
      </c>
      <c r="D76" s="51" t="s">
        <v>200</v>
      </c>
      <c r="E76" s="51" t="s">
        <v>201</v>
      </c>
      <c r="F76" s="51" t="s">
        <v>202</v>
      </c>
      <c r="G76" s="51" t="s">
        <v>201</v>
      </c>
      <c r="H76" s="51" t="s">
        <v>201</v>
      </c>
      <c r="I76" s="51" t="s">
        <v>202</v>
      </c>
      <c r="J76" s="29"/>
    </row>
    <row r="77" spans="1:10">
      <c r="A77" s="42">
        <v>5</v>
      </c>
      <c r="B77" s="58">
        <f>IF(D39&lt;&gt;0,D39,D38)</f>
        <v>0</v>
      </c>
      <c r="C77" s="59">
        <f>IF(C$72=100,IDF!L18,IF(C$72=50,IDF!J18,IF(C$72=25,IDF!H18,IF(C$72=10,IDF!F18,IF(C$72=5,IDF!D18,"invalid entry in C71")))))</f>
        <v>12.36</v>
      </c>
      <c r="D77" s="52">
        <f>D36/43560</f>
        <v>0</v>
      </c>
      <c r="E77" s="58">
        <f>B77*C77*D77</f>
        <v>0</v>
      </c>
      <c r="F77" s="60">
        <f t="shared" ref="F77:F91" si="1">A77*E77*60</f>
        <v>0</v>
      </c>
      <c r="G77" s="363">
        <f>G72</f>
        <v>0</v>
      </c>
      <c r="H77" s="58">
        <f t="shared" ref="H77:H91" si="2">E77-G77</f>
        <v>0</v>
      </c>
      <c r="I77" s="39">
        <f>H77*A77*60</f>
        <v>0</v>
      </c>
      <c r="J77" s="29"/>
    </row>
    <row r="78" spans="1:10">
      <c r="A78" s="42">
        <v>10</v>
      </c>
      <c r="B78" s="58">
        <f>B77</f>
        <v>0</v>
      </c>
      <c r="C78" s="59">
        <f>IF(C$72=100,IDF!L19,IF(C$72=50,IDF!J19,IF(C$72=25,IDF!H19,IF(C$72=10,IDF!F19,IF(C$72=5,IDF!D19,"invalid entry in C71")))))</f>
        <v>10.8</v>
      </c>
      <c r="D78" s="52">
        <f>D77</f>
        <v>0</v>
      </c>
      <c r="E78" s="58">
        <f t="shared" ref="E78:E91" si="3">B78*C78*D78</f>
        <v>0</v>
      </c>
      <c r="F78" s="60">
        <f t="shared" si="1"/>
        <v>0</v>
      </c>
      <c r="G78" s="363">
        <f t="shared" ref="G78:G91" si="4">G77</f>
        <v>0</v>
      </c>
      <c r="H78" s="58">
        <f t="shared" si="2"/>
        <v>0</v>
      </c>
      <c r="I78" s="39">
        <f t="shared" ref="I78:I91" si="5">H78*A78*60</f>
        <v>0</v>
      </c>
      <c r="J78" s="29"/>
    </row>
    <row r="79" spans="1:10">
      <c r="A79" s="42">
        <v>15</v>
      </c>
      <c r="B79" s="58">
        <f t="shared" ref="B79:B91" si="6">B78</f>
        <v>0</v>
      </c>
      <c r="C79" s="59">
        <f>IF(C$72=100,IDF!L20,IF(C$72=50,IDF!J20,IF(C$72=25,IDF!H20,IF(C$72=10,IDF!F20,IF(C$72=5,IDF!D20,"invalid entry in C71")))))</f>
        <v>9.2799999999999994</v>
      </c>
      <c r="D79" s="52">
        <f t="shared" ref="D79:D91" si="7">D78</f>
        <v>0</v>
      </c>
      <c r="E79" s="58">
        <f t="shared" si="3"/>
        <v>0</v>
      </c>
      <c r="F79" s="60">
        <f t="shared" si="1"/>
        <v>0</v>
      </c>
      <c r="G79" s="363">
        <f t="shared" si="4"/>
        <v>0</v>
      </c>
      <c r="H79" s="58">
        <f t="shared" si="2"/>
        <v>0</v>
      </c>
      <c r="I79" s="39">
        <f t="shared" si="5"/>
        <v>0</v>
      </c>
      <c r="J79" s="29"/>
    </row>
    <row r="80" spans="1:10">
      <c r="A80" s="42">
        <v>30</v>
      </c>
      <c r="B80" s="58">
        <f t="shared" si="6"/>
        <v>0</v>
      </c>
      <c r="C80" s="59">
        <f>IF(C$72=100,IDF!L21,IF(C$72=50,IDF!J21,IF(C$72=25,IDF!H21,IF(C$72=10,IDF!F21,IF(C$72=5,IDF!D21,"invalid entry in C71")))))</f>
        <v>6.34</v>
      </c>
      <c r="D80" s="52">
        <f t="shared" si="7"/>
        <v>0</v>
      </c>
      <c r="E80" s="58">
        <f t="shared" si="3"/>
        <v>0</v>
      </c>
      <c r="F80" s="60">
        <f t="shared" si="1"/>
        <v>0</v>
      </c>
      <c r="G80" s="363">
        <f t="shared" si="4"/>
        <v>0</v>
      </c>
      <c r="H80" s="58">
        <f t="shared" si="2"/>
        <v>0</v>
      </c>
      <c r="I80" s="39">
        <f t="shared" si="5"/>
        <v>0</v>
      </c>
      <c r="J80" s="29"/>
    </row>
    <row r="81" spans="1:10">
      <c r="A81" s="42">
        <v>60</v>
      </c>
      <c r="B81" s="58">
        <f t="shared" si="6"/>
        <v>0</v>
      </c>
      <c r="C81" s="59">
        <f>IF(C$72=100,IDF!L22,IF(C$72=50,IDF!J22,IF(C$72=25,IDF!H22,IF(C$72=10,IDF!F22,IF(C$72=5,IDF!D22,"invalid entry in C71")))))</f>
        <v>4.03</v>
      </c>
      <c r="D81" s="52">
        <f t="shared" si="7"/>
        <v>0</v>
      </c>
      <c r="E81" s="58">
        <f t="shared" si="3"/>
        <v>0</v>
      </c>
      <c r="F81" s="60">
        <f t="shared" si="1"/>
        <v>0</v>
      </c>
      <c r="G81" s="363">
        <f t="shared" si="4"/>
        <v>0</v>
      </c>
      <c r="H81" s="58">
        <f t="shared" si="2"/>
        <v>0</v>
      </c>
      <c r="I81" s="39">
        <f t="shared" si="5"/>
        <v>0</v>
      </c>
      <c r="J81" s="29"/>
    </row>
    <row r="82" spans="1:10">
      <c r="A82" s="42">
        <f>2*60</f>
        <v>120</v>
      </c>
      <c r="B82" s="58">
        <f t="shared" si="6"/>
        <v>0</v>
      </c>
      <c r="C82" s="59">
        <f>IF(C$72=100,IDF!L23,IF(C$72=50,IDF!J23,IF(C$72=25,IDF!H23,IF(C$72=10,IDF!F23,IF(C$72=5,IDF!D23,"invalid entry in C71")))))</f>
        <v>2.4849999999999999</v>
      </c>
      <c r="D82" s="52">
        <f>D81</f>
        <v>0</v>
      </c>
      <c r="E82" s="58">
        <f t="shared" si="3"/>
        <v>0</v>
      </c>
      <c r="F82" s="60">
        <f t="shared" si="1"/>
        <v>0</v>
      </c>
      <c r="G82" s="363">
        <f t="shared" si="4"/>
        <v>0</v>
      </c>
      <c r="H82" s="58">
        <f t="shared" si="2"/>
        <v>0</v>
      </c>
      <c r="I82" s="39">
        <f t="shared" si="5"/>
        <v>0</v>
      </c>
      <c r="J82" s="29"/>
    </row>
    <row r="83" spans="1:10">
      <c r="A83" s="42">
        <f>3*60</f>
        <v>180</v>
      </c>
      <c r="B83" s="58">
        <f t="shared" si="6"/>
        <v>0</v>
      </c>
      <c r="C83" s="59">
        <f>IF(C$72=100,IDF!L24,IF(C$72=50,IDF!J24,IF(C$72=25,IDF!H24,IF(C$72=10,IDF!F24,IF(C$72=5,IDF!D24,"invalid entry in C71")))))</f>
        <v>1.83</v>
      </c>
      <c r="D83" s="52">
        <f t="shared" si="7"/>
        <v>0</v>
      </c>
      <c r="E83" s="58">
        <f t="shared" si="3"/>
        <v>0</v>
      </c>
      <c r="F83" s="60">
        <f t="shared" si="1"/>
        <v>0</v>
      </c>
      <c r="G83" s="363">
        <f t="shared" si="4"/>
        <v>0</v>
      </c>
      <c r="H83" s="58">
        <f t="shared" si="2"/>
        <v>0</v>
      </c>
      <c r="I83" s="39">
        <f t="shared" si="5"/>
        <v>0</v>
      </c>
      <c r="J83" s="29"/>
    </row>
    <row r="84" spans="1:10">
      <c r="A84" s="42">
        <f>6*60</f>
        <v>360</v>
      </c>
      <c r="B84" s="58">
        <f t="shared" si="6"/>
        <v>0</v>
      </c>
      <c r="C84" s="59">
        <f>IF(C$72=100,IDF!L25,IF(C$72=50,IDF!J25,IF(C$72=25,IDF!H25,IF(C$72=10,IDF!F25,IF(C$72=5,IDF!D25,"invalid entry in C71")))))</f>
        <v>1.0716666666666665</v>
      </c>
      <c r="D84" s="52">
        <f t="shared" si="7"/>
        <v>0</v>
      </c>
      <c r="E84" s="58">
        <f t="shared" si="3"/>
        <v>0</v>
      </c>
      <c r="F84" s="60">
        <f t="shared" si="1"/>
        <v>0</v>
      </c>
      <c r="G84" s="363">
        <f t="shared" si="4"/>
        <v>0</v>
      </c>
      <c r="H84" s="58">
        <f t="shared" si="2"/>
        <v>0</v>
      </c>
      <c r="I84" s="39">
        <f t="shared" si="5"/>
        <v>0</v>
      </c>
      <c r="J84" s="29"/>
    </row>
    <row r="85" spans="1:10">
      <c r="A85" s="42">
        <f>12*60</f>
        <v>720</v>
      </c>
      <c r="B85" s="58">
        <f t="shared" si="6"/>
        <v>0</v>
      </c>
      <c r="C85" s="59">
        <f>IF(C$72=100,IDF!L26,IF(C$72=50,IDF!J26,IF(C$72=25,IDF!H26,IF(C$72=10,IDF!F26,IF(C$72=5,IDF!D26,"invalid entry in C71")))))</f>
        <v>0.62166666666666659</v>
      </c>
      <c r="D85" s="52">
        <f t="shared" si="7"/>
        <v>0</v>
      </c>
      <c r="E85" s="58">
        <f t="shared" si="3"/>
        <v>0</v>
      </c>
      <c r="F85" s="60">
        <f t="shared" si="1"/>
        <v>0</v>
      </c>
      <c r="G85" s="363">
        <f t="shared" si="4"/>
        <v>0</v>
      </c>
      <c r="H85" s="58">
        <f t="shared" si="2"/>
        <v>0</v>
      </c>
      <c r="I85" s="39">
        <f t="shared" si="5"/>
        <v>0</v>
      </c>
      <c r="J85" s="29"/>
    </row>
    <row r="86" spans="1:10">
      <c r="A86" s="42">
        <f>18*60</f>
        <v>1080</v>
      </c>
      <c r="B86" s="58">
        <f t="shared" si="6"/>
        <v>0</v>
      </c>
      <c r="C86" s="59">
        <f>IF(C$72=100,IDF!L27,IF(C$72=50,IDF!J27,IF(C$72=25,IDF!H27,IF(C$72=10,IDF!F27,IF(C$72=5,IDF!D27,"invalid entry in C71")))))</f>
        <v>0.44777777777777777</v>
      </c>
      <c r="D86" s="52">
        <f t="shared" si="7"/>
        <v>0</v>
      </c>
      <c r="E86" s="58">
        <f t="shared" si="3"/>
        <v>0</v>
      </c>
      <c r="F86" s="60">
        <f t="shared" si="1"/>
        <v>0</v>
      </c>
      <c r="G86" s="363">
        <f t="shared" si="4"/>
        <v>0</v>
      </c>
      <c r="H86" s="58">
        <f t="shared" si="2"/>
        <v>0</v>
      </c>
      <c r="I86" s="39">
        <f t="shared" si="5"/>
        <v>0</v>
      </c>
      <c r="J86" s="29"/>
    </row>
    <row r="87" spans="1:10">
      <c r="A87" s="42">
        <f>24*60</f>
        <v>1440</v>
      </c>
      <c r="B87" s="58">
        <f t="shared" si="6"/>
        <v>0</v>
      </c>
      <c r="C87" s="59">
        <f>IF(C$72=100,IDF!L28,IF(C$72=50,IDF!J28,IF(C$72=25,IDF!H28,IF(C$72=10,IDF!F28,IF(C$72=5,IDF!D28,"invalid entry in C71")))))</f>
        <v>0.35708333333333331</v>
      </c>
      <c r="D87" s="52">
        <f t="shared" si="7"/>
        <v>0</v>
      </c>
      <c r="E87" s="58">
        <f t="shared" si="3"/>
        <v>0</v>
      </c>
      <c r="F87" s="60">
        <f t="shared" si="1"/>
        <v>0</v>
      </c>
      <c r="G87" s="363">
        <f t="shared" si="4"/>
        <v>0</v>
      </c>
      <c r="H87" s="58">
        <f t="shared" si="2"/>
        <v>0</v>
      </c>
      <c r="I87" s="39">
        <f t="shared" si="5"/>
        <v>0</v>
      </c>
      <c r="J87" s="29"/>
    </row>
    <row r="88" spans="1:10">
      <c r="A88" s="42">
        <f>48*60</f>
        <v>2880</v>
      </c>
      <c r="B88" s="58">
        <f t="shared" si="6"/>
        <v>0</v>
      </c>
      <c r="C88" s="59">
        <f>IF(C$72=100,IDF!L29,IF(C$72=50,IDF!J29,IF(C$72=25,IDF!H29,IF(C$72=10,IDF!F29,IF(C$72=5,IDF!D29,"invalid entry in C71")))))</f>
        <v>0.1933333333333333</v>
      </c>
      <c r="D88" s="52">
        <f t="shared" si="7"/>
        <v>0</v>
      </c>
      <c r="E88" s="58">
        <f t="shared" si="3"/>
        <v>0</v>
      </c>
      <c r="F88" s="60">
        <f t="shared" si="1"/>
        <v>0</v>
      </c>
      <c r="G88" s="363">
        <f t="shared" si="4"/>
        <v>0</v>
      </c>
      <c r="H88" s="58">
        <f t="shared" si="2"/>
        <v>0</v>
      </c>
      <c r="I88" s="39">
        <f t="shared" si="5"/>
        <v>0</v>
      </c>
      <c r="J88" s="29"/>
    </row>
    <row r="89" spans="1:10">
      <c r="A89" s="42">
        <f>72*60</f>
        <v>4320</v>
      </c>
      <c r="B89" s="58">
        <f t="shared" si="6"/>
        <v>0</v>
      </c>
      <c r="C89" s="59">
        <f>IF(C$72=100,IDF!L30,IF(C$72=50,IDF!J30,IF(C$72=25,IDF!H30,IF(C$72=10,IDF!F30,IF(C$72=5,IDF!D30,"invalid entry in C71")))))</f>
        <v>0.13680555555555554</v>
      </c>
      <c r="D89" s="52">
        <f t="shared" si="7"/>
        <v>0</v>
      </c>
      <c r="E89" s="58">
        <f t="shared" si="3"/>
        <v>0</v>
      </c>
      <c r="F89" s="60">
        <f t="shared" si="1"/>
        <v>0</v>
      </c>
      <c r="G89" s="363">
        <f t="shared" si="4"/>
        <v>0</v>
      </c>
      <c r="H89" s="58">
        <f t="shared" si="2"/>
        <v>0</v>
      </c>
      <c r="I89" s="39">
        <f t="shared" si="5"/>
        <v>0</v>
      </c>
      <c r="J89" s="29"/>
    </row>
    <row r="90" spans="1:10">
      <c r="A90" s="42">
        <f>5*24*60</f>
        <v>7200</v>
      </c>
      <c r="B90" s="58">
        <f t="shared" si="6"/>
        <v>0</v>
      </c>
      <c r="C90" s="59">
        <f>IF(C$72=100,IDF!L31,IF(C$72=50,IDF!J31,IF(C$72=25,IDF!H31,IF(C$72=10,IDF!F31,IF(C$72=5,IDF!D31,"invalid entry in C71")))))</f>
        <v>8.8833333333333334E-2</v>
      </c>
      <c r="D90" s="52">
        <f t="shared" si="7"/>
        <v>0</v>
      </c>
      <c r="E90" s="58">
        <f t="shared" si="3"/>
        <v>0</v>
      </c>
      <c r="F90" s="60">
        <f t="shared" si="1"/>
        <v>0</v>
      </c>
      <c r="G90" s="363">
        <f t="shared" si="4"/>
        <v>0</v>
      </c>
      <c r="H90" s="58">
        <f t="shared" si="2"/>
        <v>0</v>
      </c>
      <c r="I90" s="39">
        <f t="shared" si="5"/>
        <v>0</v>
      </c>
      <c r="J90" s="29"/>
    </row>
    <row r="91" spans="1:10">
      <c r="A91" s="42">
        <f>10*24*60</f>
        <v>14400</v>
      </c>
      <c r="B91" s="58">
        <f t="shared" si="6"/>
        <v>0</v>
      </c>
      <c r="C91" s="59">
        <f>IF(C$72=100,IDF!L32,IF(C$72=50,IDF!J32,IF(C$72=25,IDF!H32,IF(C$72=10,IDF!F32,IF(C$72=5,IDF!D32,"invalid entry in C71")))))</f>
        <v>5.2708333333333336E-2</v>
      </c>
      <c r="D91" s="52">
        <f t="shared" si="7"/>
        <v>0</v>
      </c>
      <c r="E91" s="58">
        <f t="shared" si="3"/>
        <v>0</v>
      </c>
      <c r="F91" s="60">
        <f t="shared" si="1"/>
        <v>0</v>
      </c>
      <c r="G91" s="363">
        <f t="shared" si="4"/>
        <v>0</v>
      </c>
      <c r="H91" s="58">
        <f t="shared" si="2"/>
        <v>0</v>
      </c>
      <c r="I91" s="39">
        <f t="shared" si="5"/>
        <v>0</v>
      </c>
      <c r="J91" s="29"/>
    </row>
    <row r="92" spans="1:10" ht="38.25">
      <c r="A92" s="53"/>
      <c r="B92" s="53"/>
      <c r="C92" s="53"/>
      <c r="D92" s="53"/>
      <c r="E92" s="53"/>
      <c r="F92" s="29"/>
      <c r="G92" s="53"/>
      <c r="H92" s="34" t="s">
        <v>203</v>
      </c>
      <c r="I92" s="183">
        <f>MAX(I77:I91)</f>
        <v>0</v>
      </c>
      <c r="J92" s="29"/>
    </row>
    <row r="93" spans="1:10">
      <c r="A93" s="53" t="s">
        <v>204</v>
      </c>
      <c r="B93" s="53"/>
      <c r="C93" s="53"/>
      <c r="D93" s="53"/>
      <c r="E93" s="53"/>
      <c r="F93" s="53"/>
      <c r="G93" s="53"/>
      <c r="H93" s="53"/>
      <c r="I93" s="62"/>
      <c r="J93" s="29"/>
    </row>
    <row r="94" spans="1:10">
      <c r="A94" s="53"/>
      <c r="B94" s="53"/>
      <c r="C94" s="53"/>
      <c r="D94" s="53"/>
      <c r="E94" s="53"/>
      <c r="F94" s="53"/>
      <c r="G94" s="53"/>
      <c r="H94" s="53"/>
      <c r="I94" s="54"/>
      <c r="J94" s="29"/>
    </row>
  </sheetData>
  <mergeCells count="29">
    <mergeCell ref="E66:G66"/>
    <mergeCell ref="F11:F12"/>
    <mergeCell ref="B29:B30"/>
    <mergeCell ref="E65:G65"/>
    <mergeCell ref="D11:D12"/>
    <mergeCell ref="E11:E12"/>
    <mergeCell ref="B13:B23"/>
    <mergeCell ref="B24:B28"/>
    <mergeCell ref="D40:F40"/>
    <mergeCell ref="E63:F63"/>
    <mergeCell ref="E43:E44"/>
    <mergeCell ref="E64:G64"/>
    <mergeCell ref="F50:I50"/>
    <mergeCell ref="F43:I44"/>
    <mergeCell ref="F45:I45"/>
    <mergeCell ref="F46:I46"/>
    <mergeCell ref="F47:I47"/>
    <mergeCell ref="F48:I48"/>
    <mergeCell ref="F49:I49"/>
    <mergeCell ref="F51:I51"/>
    <mergeCell ref="C50:D50"/>
    <mergeCell ref="B33:B39"/>
    <mergeCell ref="C48:D48"/>
    <mergeCell ref="B68:D68"/>
    <mergeCell ref="C45:D45"/>
    <mergeCell ref="C46:D46"/>
    <mergeCell ref="C47:D47"/>
    <mergeCell ref="C49:D49"/>
    <mergeCell ref="C51:D51"/>
  </mergeCells>
  <phoneticPr fontId="0" type="noConversion"/>
  <conditionalFormatting sqref="I77:I92">
    <cfRule type="cellIs" dxfId="9" priority="5" stopIfTrue="1" operator="equal">
      <formula>$I$92</formula>
    </cfRule>
  </conditionalFormatting>
  <printOptions horizontalCentered="1"/>
  <pageMargins left="0.75" right="0.75" top="1" bottom="1" header="0.5" footer="0.5"/>
  <pageSetup scale="56" firstPageNumber="2" fitToHeight="2" orientation="portrait" r:id="rId1"/>
  <headerFooter alignWithMargins="0">
    <oddFooter>&amp;L&amp;8City of Chicago
Dept. of Water Management&amp;C&amp;8Permit Applicaiton&amp;R&amp;8&amp;A
Page &amp;P</oddFooter>
  </headerFooter>
  <rowBreaks count="1" manualBreakCount="1">
    <brk id="51" max="8"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I43"/>
  <sheetViews>
    <sheetView showGridLines="0" zoomScaleNormal="100" workbookViewId="0">
      <selection activeCell="D16" sqref="D16"/>
    </sheetView>
  </sheetViews>
  <sheetFormatPr defaultRowHeight="12.75"/>
  <cols>
    <col min="1" max="1" width="30.5703125" customWidth="1"/>
    <col min="2" max="2" width="12" customWidth="1"/>
    <col min="3" max="3" width="17.5703125" customWidth="1"/>
    <col min="4" max="4" width="8.85546875" customWidth="1"/>
    <col min="5" max="5" width="10.28515625" customWidth="1"/>
    <col min="6" max="6" width="8.5703125" customWidth="1"/>
    <col min="7" max="7" width="17.42578125" customWidth="1"/>
    <col min="8" max="8" width="29.85546875" bestFit="1" customWidth="1"/>
  </cols>
  <sheetData>
    <row r="1" spans="1:9" ht="18">
      <c r="A1" s="104" t="s">
        <v>2</v>
      </c>
      <c r="B1" s="97"/>
      <c r="C1" s="97"/>
      <c r="D1" s="97"/>
      <c r="E1" s="97"/>
      <c r="F1" s="97"/>
      <c r="G1" s="97"/>
      <c r="H1" s="97"/>
    </row>
    <row r="2" spans="1:9" ht="18">
      <c r="A2" s="104" t="s">
        <v>3</v>
      </c>
      <c r="B2" s="97"/>
      <c r="C2" s="97"/>
      <c r="D2" s="97"/>
      <c r="E2" s="97"/>
      <c r="F2" s="97"/>
      <c r="G2" s="97"/>
      <c r="H2" s="97"/>
    </row>
    <row r="3" spans="1:9" ht="12.75" customHeight="1">
      <c r="A3" s="104"/>
      <c r="B3" s="97"/>
      <c r="C3" s="97"/>
      <c r="D3" s="97"/>
      <c r="E3" s="97"/>
      <c r="F3" s="97"/>
      <c r="G3" s="97"/>
      <c r="H3" s="97"/>
    </row>
    <row r="4" spans="1:9" ht="12.75" customHeight="1">
      <c r="A4" t="s">
        <v>54</v>
      </c>
      <c r="B4" s="96" t="str">
        <f>IF(COVER!$D$15="","",COVER!$D$15)</f>
        <v/>
      </c>
      <c r="C4" s="118"/>
      <c r="D4" s="97"/>
      <c r="E4" s="97"/>
      <c r="F4" s="97"/>
      <c r="G4" s="97"/>
      <c r="H4" s="97"/>
    </row>
    <row r="5" spans="1:9" ht="12.75" customHeight="1">
      <c r="A5" t="s">
        <v>55</v>
      </c>
      <c r="B5" s="119" t="str">
        <f>IF(COVER!$D$18="","",COVER!$D$18)</f>
        <v/>
      </c>
      <c r="C5" s="120"/>
      <c r="D5" s="97"/>
      <c r="E5" s="97"/>
      <c r="F5" s="97"/>
      <c r="G5" s="97"/>
      <c r="H5" s="97"/>
    </row>
    <row r="6" spans="1:9" ht="12.75" customHeight="1">
      <c r="A6" t="s">
        <v>56</v>
      </c>
      <c r="B6" s="96" t="str">
        <f>IF(COVER!$F$21="","",COVER!$F$21)</f>
        <v/>
      </c>
      <c r="C6" s="120"/>
      <c r="D6" s="97"/>
      <c r="E6" s="97"/>
      <c r="F6" s="97"/>
      <c r="G6" s="97"/>
      <c r="H6" s="97"/>
    </row>
    <row r="7" spans="1:9" ht="12.75" customHeight="1">
      <c r="B7" s="91"/>
      <c r="C7" s="97"/>
      <c r="D7" s="97"/>
      <c r="E7" s="97"/>
      <c r="F7" s="97"/>
      <c r="G7" s="97"/>
      <c r="H7" s="97"/>
    </row>
    <row r="8" spans="1:9" ht="18">
      <c r="A8" s="104" t="s">
        <v>36</v>
      </c>
    </row>
    <row r="9" spans="1:9">
      <c r="A9" s="3"/>
      <c r="B9" s="3"/>
      <c r="C9" s="3"/>
      <c r="D9" s="3"/>
      <c r="E9" s="3"/>
      <c r="F9" s="5"/>
      <c r="G9" s="5"/>
      <c r="H9" s="5"/>
    </row>
    <row r="10" spans="1:9">
      <c r="A10" s="4" t="s">
        <v>205</v>
      </c>
      <c r="C10" s="6"/>
      <c r="D10" s="6"/>
      <c r="E10" s="6"/>
      <c r="F10" s="6"/>
      <c r="G10" s="6"/>
      <c r="H10" s="6"/>
      <c r="I10" s="7"/>
    </row>
    <row r="11" spans="1:9">
      <c r="A11" s="4"/>
      <c r="C11" s="6"/>
      <c r="D11" s="6"/>
      <c r="E11" s="6"/>
      <c r="F11" s="6"/>
      <c r="G11" s="6"/>
      <c r="H11" s="6"/>
      <c r="I11" s="7"/>
    </row>
    <row r="12" spans="1:9" ht="26.25" customHeight="1">
      <c r="A12" s="428" t="s">
        <v>206</v>
      </c>
      <c r="B12" s="428"/>
      <c r="C12" s="428"/>
      <c r="D12" s="428"/>
      <c r="E12" s="428"/>
      <c r="F12" s="428"/>
      <c r="G12" s="6"/>
      <c r="H12" s="6"/>
      <c r="I12" s="7"/>
    </row>
    <row r="13" spans="1:9">
      <c r="A13" s="21"/>
      <c r="B13" s="4"/>
      <c r="C13" s="6"/>
      <c r="D13" s="6"/>
      <c r="E13" s="6"/>
      <c r="F13" s="6"/>
      <c r="G13" s="6"/>
      <c r="H13" s="6"/>
      <c r="I13" s="7"/>
    </row>
    <row r="14" spans="1:9" ht="12.75" customHeight="1">
      <c r="A14" s="225" t="s">
        <v>207</v>
      </c>
      <c r="B14" s="429" t="s">
        <v>208</v>
      </c>
      <c r="C14" s="215"/>
      <c r="D14" s="226" t="s">
        <v>209</v>
      </c>
      <c r="E14" s="436" t="s">
        <v>205</v>
      </c>
      <c r="F14" s="437"/>
      <c r="G14" s="12"/>
      <c r="I14" s="7"/>
    </row>
    <row r="15" spans="1:9" ht="27" customHeight="1">
      <c r="A15" s="227"/>
      <c r="B15" s="430"/>
      <c r="C15" s="216"/>
      <c r="D15" s="228"/>
      <c r="E15" s="438"/>
      <c r="F15" s="439"/>
      <c r="G15" s="46"/>
      <c r="I15" s="7"/>
    </row>
    <row r="16" spans="1:9">
      <c r="A16" s="63" t="s">
        <v>210</v>
      </c>
      <c r="B16" s="64">
        <v>250</v>
      </c>
      <c r="C16" s="64" t="s">
        <v>211</v>
      </c>
      <c r="D16" s="206"/>
      <c r="E16" s="173">
        <f t="shared" ref="E16:E29" si="0">B16*D16/7.4805/24/3600</f>
        <v>0</v>
      </c>
      <c r="F16" s="35" t="s">
        <v>168</v>
      </c>
      <c r="G16" s="47"/>
      <c r="I16" s="7"/>
    </row>
    <row r="17" spans="1:9">
      <c r="A17" s="63" t="s">
        <v>212</v>
      </c>
      <c r="B17" s="64">
        <v>150</v>
      </c>
      <c r="C17" s="64" t="s">
        <v>213</v>
      </c>
      <c r="D17" s="206"/>
      <c r="E17" s="173">
        <f t="shared" si="0"/>
        <v>0</v>
      </c>
      <c r="F17" s="35" t="s">
        <v>168</v>
      </c>
      <c r="G17" s="47"/>
      <c r="I17" s="7"/>
    </row>
    <row r="18" spans="1:9">
      <c r="A18" s="63" t="s">
        <v>214</v>
      </c>
      <c r="B18" s="64">
        <v>60</v>
      </c>
      <c r="C18" s="64" t="s">
        <v>213</v>
      </c>
      <c r="D18" s="206"/>
      <c r="E18" s="173">
        <f>B18*D18/7.4805/24/3600</f>
        <v>0</v>
      </c>
      <c r="F18" s="35" t="s">
        <v>168</v>
      </c>
      <c r="G18" s="47"/>
      <c r="I18" s="7"/>
    </row>
    <row r="19" spans="1:9">
      <c r="A19" s="63" t="s">
        <v>215</v>
      </c>
      <c r="B19" s="64">
        <v>350</v>
      </c>
      <c r="C19" s="64" t="s">
        <v>216</v>
      </c>
      <c r="D19" s="206"/>
      <c r="E19" s="173">
        <f t="shared" si="0"/>
        <v>0</v>
      </c>
      <c r="F19" s="35" t="s">
        <v>168</v>
      </c>
      <c r="G19" s="47"/>
      <c r="I19" s="7"/>
    </row>
    <row r="20" spans="1:9">
      <c r="A20" s="63" t="s">
        <v>217</v>
      </c>
      <c r="B20" s="64">
        <v>300</v>
      </c>
      <c r="C20" s="64" t="s">
        <v>218</v>
      </c>
      <c r="D20" s="206"/>
      <c r="E20" s="173">
        <f t="shared" si="0"/>
        <v>0</v>
      </c>
      <c r="F20" s="35" t="s">
        <v>168</v>
      </c>
      <c r="G20" s="47"/>
      <c r="I20" s="7"/>
    </row>
    <row r="21" spans="1:9">
      <c r="A21" s="63" t="s">
        <v>219</v>
      </c>
      <c r="B21" s="64">
        <v>300</v>
      </c>
      <c r="C21" s="64" t="s">
        <v>218</v>
      </c>
      <c r="D21" s="206"/>
      <c r="E21" s="173">
        <f t="shared" si="0"/>
        <v>0</v>
      </c>
      <c r="F21" s="35" t="s">
        <v>168</v>
      </c>
      <c r="G21" s="47"/>
      <c r="I21" s="7"/>
    </row>
    <row r="22" spans="1:9">
      <c r="A22" s="63" t="s">
        <v>220</v>
      </c>
      <c r="B22" s="64">
        <v>150</v>
      </c>
      <c r="C22" s="64" t="s">
        <v>218</v>
      </c>
      <c r="D22" s="206"/>
      <c r="E22" s="173">
        <f t="shared" si="0"/>
        <v>0</v>
      </c>
      <c r="F22" s="35" t="s">
        <v>168</v>
      </c>
      <c r="G22" s="47"/>
      <c r="I22" s="7"/>
    </row>
    <row r="23" spans="1:9">
      <c r="A23" s="63" t="s">
        <v>221</v>
      </c>
      <c r="B23" s="64">
        <v>100</v>
      </c>
      <c r="C23" s="64" t="s">
        <v>218</v>
      </c>
      <c r="D23" s="206"/>
      <c r="E23" s="173">
        <f t="shared" si="0"/>
        <v>0</v>
      </c>
      <c r="F23" s="35" t="s">
        <v>168</v>
      </c>
      <c r="G23" s="47"/>
      <c r="I23" s="7"/>
    </row>
    <row r="24" spans="1:9">
      <c r="A24" s="63" t="s">
        <v>222</v>
      </c>
      <c r="B24" s="64">
        <v>50</v>
      </c>
      <c r="C24" s="64" t="s">
        <v>223</v>
      </c>
      <c r="D24" s="206"/>
      <c r="E24" s="173">
        <f t="shared" si="0"/>
        <v>0</v>
      </c>
      <c r="F24" s="35" t="s">
        <v>168</v>
      </c>
      <c r="G24" s="47"/>
      <c r="I24" s="7"/>
    </row>
    <row r="25" spans="1:9" ht="14.25" customHeight="1">
      <c r="A25" s="63" t="s">
        <v>224</v>
      </c>
      <c r="B25" s="64">
        <v>35</v>
      </c>
      <c r="C25" s="64" t="s">
        <v>225</v>
      </c>
      <c r="D25" s="206"/>
      <c r="E25" s="173">
        <f t="shared" si="0"/>
        <v>0</v>
      </c>
      <c r="F25" s="35" t="s">
        <v>168</v>
      </c>
      <c r="G25" s="47"/>
      <c r="I25" s="7"/>
    </row>
    <row r="26" spans="1:9">
      <c r="A26" s="63" t="s">
        <v>226</v>
      </c>
      <c r="B26" s="66">
        <v>15</v>
      </c>
      <c r="C26" s="66" t="s">
        <v>225</v>
      </c>
      <c r="D26" s="206"/>
      <c r="E26" s="173">
        <f t="shared" si="0"/>
        <v>0</v>
      </c>
      <c r="F26" s="35" t="s">
        <v>168</v>
      </c>
      <c r="G26" s="47"/>
      <c r="I26" s="7"/>
    </row>
    <row r="27" spans="1:9">
      <c r="A27" s="63" t="s">
        <v>227</v>
      </c>
      <c r="B27" s="66">
        <v>12</v>
      </c>
      <c r="C27" s="66" t="s">
        <v>228</v>
      </c>
      <c r="D27" s="206"/>
      <c r="E27" s="173">
        <f t="shared" si="0"/>
        <v>0</v>
      </c>
      <c r="F27" s="35" t="s">
        <v>168</v>
      </c>
      <c r="G27" s="47"/>
      <c r="I27" s="7"/>
    </row>
    <row r="28" spans="1:9">
      <c r="A28" s="63" t="s">
        <v>229</v>
      </c>
      <c r="B28" s="66">
        <v>10</v>
      </c>
      <c r="C28" s="66" t="s">
        <v>228</v>
      </c>
      <c r="D28" s="206"/>
      <c r="E28" s="173">
        <f t="shared" si="0"/>
        <v>0</v>
      </c>
      <c r="F28" s="35" t="s">
        <v>168</v>
      </c>
      <c r="G28" s="47"/>
      <c r="I28" s="7"/>
    </row>
    <row r="29" spans="1:9">
      <c r="A29" s="63" t="s">
        <v>230</v>
      </c>
      <c r="B29" s="66">
        <v>5</v>
      </c>
      <c r="C29" s="66" t="s">
        <v>228</v>
      </c>
      <c r="D29" s="206"/>
      <c r="E29" s="173">
        <f t="shared" si="0"/>
        <v>0</v>
      </c>
      <c r="F29" s="35" t="s">
        <v>168</v>
      </c>
      <c r="G29" s="47"/>
      <c r="I29" s="7"/>
    </row>
    <row r="30" spans="1:9">
      <c r="A30" s="65"/>
      <c r="D30" s="349" t="s">
        <v>186</v>
      </c>
      <c r="E30" s="173">
        <f>SUM(E16:E29)</f>
        <v>0</v>
      </c>
      <c r="F30" s="35" t="s">
        <v>168</v>
      </c>
    </row>
    <row r="31" spans="1:9">
      <c r="C31" s="434" t="s">
        <v>231</v>
      </c>
      <c r="D31" s="435"/>
      <c r="E31" s="350">
        <f>E30*43560</f>
        <v>0</v>
      </c>
      <c r="F31" s="35" t="s">
        <v>15</v>
      </c>
    </row>
    <row r="33" spans="1:7" ht="26.25" customHeight="1">
      <c r="A33" s="432" t="s">
        <v>232</v>
      </c>
      <c r="B33" s="433"/>
      <c r="C33" s="433"/>
      <c r="D33" s="433"/>
      <c r="E33" s="433"/>
      <c r="F33" s="433"/>
    </row>
    <row r="34" spans="1:7" ht="12.75" customHeight="1">
      <c r="A34" s="20"/>
      <c r="B34" s="86"/>
      <c r="C34" s="86"/>
      <c r="D34" s="86"/>
      <c r="E34" s="86"/>
      <c r="F34" s="86"/>
    </row>
    <row r="35" spans="1:7">
      <c r="A35" t="s">
        <v>233</v>
      </c>
    </row>
    <row r="36" spans="1:7" ht="45.75" customHeight="1">
      <c r="A36" s="431" t="s">
        <v>234</v>
      </c>
      <c r="B36" s="431"/>
      <c r="C36" s="431"/>
      <c r="D36" s="431"/>
      <c r="E36" s="431"/>
      <c r="F36" s="431"/>
    </row>
    <row r="37" spans="1:7" ht="11.25" customHeight="1">
      <c r="A37" s="178"/>
      <c r="B37" s="178"/>
      <c r="C37" s="178"/>
      <c r="D37" s="178"/>
      <c r="E37" s="178"/>
      <c r="F37" s="178"/>
    </row>
    <row r="38" spans="1:7">
      <c r="A38" s="179" t="s">
        <v>235</v>
      </c>
      <c r="B38" s="224" t="s">
        <v>236</v>
      </c>
      <c r="C38" s="224"/>
      <c r="D38" s="224"/>
      <c r="E38" s="224"/>
    </row>
    <row r="39" spans="1:7">
      <c r="A39" s="179" t="s">
        <v>237</v>
      </c>
      <c r="B39" s="224" t="s">
        <v>238</v>
      </c>
      <c r="C39" s="224"/>
      <c r="D39" s="224"/>
      <c r="E39" s="224"/>
    </row>
    <row r="40" spans="1:7" ht="15.75">
      <c r="G40" s="67"/>
    </row>
    <row r="41" spans="1:7">
      <c r="A41" s="63" t="s">
        <v>239</v>
      </c>
      <c r="B41" s="206"/>
      <c r="C41" s="66" t="s">
        <v>240</v>
      </c>
    </row>
    <row r="42" spans="1:7">
      <c r="A42" s="63" t="s">
        <v>231</v>
      </c>
      <c r="B42" s="183" t="str">
        <f>IF(B41="","",((B41-150)*7.2)+4850)</f>
        <v/>
      </c>
      <c r="C42" s="66" t="s">
        <v>15</v>
      </c>
    </row>
    <row r="43" spans="1:7">
      <c r="A43" s="63" t="s">
        <v>241</v>
      </c>
      <c r="B43" s="347" t="str">
        <f>IF(B42="","",B42/43560)</f>
        <v/>
      </c>
      <c r="C43" s="66" t="s">
        <v>168</v>
      </c>
    </row>
  </sheetData>
  <mergeCells count="6">
    <mergeCell ref="A12:F12"/>
    <mergeCell ref="B14:B15"/>
    <mergeCell ref="A36:F36"/>
    <mergeCell ref="A33:F33"/>
    <mergeCell ref="C31:D31"/>
    <mergeCell ref="E14:F15"/>
  </mergeCells>
  <phoneticPr fontId="0" type="noConversion"/>
  <pageMargins left="0.5" right="0.5" top="1" bottom="1" header="0.5" footer="0.5"/>
  <pageSetup firstPageNumber="6" orientation="portrait" r:id="rId1"/>
  <headerFooter alignWithMargins="0">
    <oddFooter>&amp;L&amp;8City of Chicago
Dept. of Water Management&amp;C&amp;8Permit Application&amp;R&amp;8&amp;A
Page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G51"/>
  <sheetViews>
    <sheetView zoomScaleNormal="100" workbookViewId="0">
      <selection activeCell="B24" sqref="B24"/>
    </sheetView>
  </sheetViews>
  <sheetFormatPr defaultRowHeight="12.75"/>
  <cols>
    <col min="1" max="1" width="25.42578125" customWidth="1"/>
    <col min="2" max="2" width="21.140625" customWidth="1"/>
    <col min="3" max="3" width="29.28515625" customWidth="1"/>
    <col min="4" max="4" width="17.140625" customWidth="1"/>
    <col min="5" max="5" width="17.7109375" customWidth="1"/>
    <col min="6" max="6" width="21.7109375" customWidth="1"/>
    <col min="7" max="7" width="19.42578125" customWidth="1"/>
  </cols>
  <sheetData>
    <row r="1" spans="1:7" ht="18">
      <c r="A1" s="104" t="s">
        <v>2</v>
      </c>
      <c r="B1" s="97"/>
      <c r="D1" s="97"/>
      <c r="E1" s="97"/>
      <c r="F1" s="97"/>
      <c r="G1" s="97"/>
    </row>
    <row r="2" spans="1:7" ht="18">
      <c r="A2" s="104" t="s">
        <v>3</v>
      </c>
      <c r="B2" s="97"/>
      <c r="D2" s="97"/>
      <c r="E2" s="97"/>
      <c r="F2" s="97"/>
      <c r="G2" s="97"/>
    </row>
    <row r="3" spans="1:7" ht="12.75" customHeight="1">
      <c r="A3" s="104"/>
      <c r="B3" s="97"/>
      <c r="D3" s="97"/>
      <c r="E3" s="97"/>
      <c r="F3" s="97"/>
      <c r="G3" s="97"/>
    </row>
    <row r="4" spans="1:7" ht="12.75" customHeight="1">
      <c r="A4" t="s">
        <v>54</v>
      </c>
      <c r="B4" s="96" t="str">
        <f>IF(COVER!$D$15="","",COVER!$D$15)</f>
        <v/>
      </c>
      <c r="D4" s="97"/>
      <c r="E4" s="97"/>
      <c r="F4" s="97"/>
      <c r="G4" s="97"/>
    </row>
    <row r="5" spans="1:7" ht="12.75" customHeight="1">
      <c r="A5" t="s">
        <v>55</v>
      </c>
      <c r="B5" s="119" t="str">
        <f>IF(COVER!$D$18="","",COVER!$D$18)</f>
        <v/>
      </c>
      <c r="D5" s="97"/>
      <c r="E5" s="97"/>
      <c r="F5" s="97"/>
      <c r="G5" s="97"/>
    </row>
    <row r="6" spans="1:7" ht="12.75" customHeight="1">
      <c r="A6" t="s">
        <v>56</v>
      </c>
      <c r="B6" s="119" t="str">
        <f>IF(COVER!$F$21="","",COVER!$F$21)</f>
        <v/>
      </c>
      <c r="D6" s="97"/>
      <c r="E6" s="97"/>
      <c r="F6" s="97"/>
      <c r="G6" s="97"/>
    </row>
    <row r="7" spans="1:7" ht="20.25">
      <c r="A7" s="1"/>
    </row>
    <row r="8" spans="1:7" ht="18">
      <c r="A8" s="104" t="s">
        <v>242</v>
      </c>
      <c r="B8" s="23"/>
      <c r="D8" s="23"/>
    </row>
    <row r="9" spans="1:7" ht="11.25" customHeight="1">
      <c r="B9" s="104"/>
      <c r="C9" s="23"/>
      <c r="D9" s="23"/>
    </row>
    <row r="10" spans="1:7">
      <c r="A10" s="23" t="s">
        <v>243</v>
      </c>
      <c r="D10" s="23"/>
    </row>
    <row r="11" spans="1:7">
      <c r="A11" s="23" t="s">
        <v>244</v>
      </c>
      <c r="D11" s="23"/>
    </row>
    <row r="12" spans="1:7">
      <c r="A12" s="7" t="s">
        <v>245</v>
      </c>
      <c r="D12" s="23"/>
    </row>
    <row r="13" spans="1:7">
      <c r="A13" s="7" t="s">
        <v>246</v>
      </c>
      <c r="D13" s="23"/>
    </row>
    <row r="14" spans="1:7">
      <c r="A14" s="7" t="s">
        <v>247</v>
      </c>
      <c r="D14" s="23"/>
    </row>
    <row r="15" spans="1:7">
      <c r="A15" s="7" t="s">
        <v>248</v>
      </c>
      <c r="D15" s="23"/>
    </row>
    <row r="16" spans="1:7">
      <c r="A16" s="7" t="s">
        <v>249</v>
      </c>
      <c r="D16" s="23"/>
    </row>
    <row r="17" spans="1:7">
      <c r="A17" s="7" t="s">
        <v>250</v>
      </c>
      <c r="D17" s="23"/>
    </row>
    <row r="18" spans="1:7">
      <c r="A18" s="7"/>
      <c r="D18" s="23"/>
    </row>
    <row r="19" spans="1:7">
      <c r="C19" s="7"/>
      <c r="D19" s="23"/>
    </row>
    <row r="20" spans="1:7">
      <c r="A20" s="161"/>
      <c r="B20" s="98"/>
    </row>
    <row r="21" spans="1:7">
      <c r="A21" s="161"/>
      <c r="B21" s="98"/>
      <c r="C21" s="443" t="s">
        <v>251</v>
      </c>
      <c r="D21" s="444"/>
      <c r="E21" s="444"/>
      <c r="F21" s="444"/>
      <c r="G21" s="445"/>
    </row>
    <row r="22" spans="1:7" ht="12.75" customHeight="1">
      <c r="A22" s="161"/>
      <c r="B22" s="440" t="s">
        <v>252</v>
      </c>
      <c r="C22" s="446" t="s">
        <v>253</v>
      </c>
      <c r="D22" s="448" t="s">
        <v>254</v>
      </c>
      <c r="E22" s="397" t="s">
        <v>255</v>
      </c>
      <c r="F22" s="442" t="s">
        <v>256</v>
      </c>
      <c r="G22" s="442" t="s">
        <v>257</v>
      </c>
    </row>
    <row r="23" spans="1:7" ht="15" customHeight="1">
      <c r="A23" s="161"/>
      <c r="B23" s="440"/>
      <c r="C23" s="447"/>
      <c r="D23" s="448"/>
      <c r="E23" s="396"/>
      <c r="F23" s="442"/>
      <c r="G23" s="442"/>
    </row>
    <row r="24" spans="1:7" ht="25.5" customHeight="1">
      <c r="A24" s="161" t="str">
        <f>IF(AND(B44="yes",B24="yes")=TRUE,"BMP can only be counted once, please adjust &gt;&gt;&gt;","")</f>
        <v/>
      </c>
      <c r="B24" s="139"/>
      <c r="C24" s="76" t="s">
        <v>258</v>
      </c>
      <c r="D24" s="185">
        <f>IF(B24="yes",'2.1.1 Bioinfiltration'!E26,0)</f>
        <v>0</v>
      </c>
      <c r="E24" s="185">
        <f>IF(B24="yes",'2.1.1 Bioinfiltration'!E37,0)</f>
        <v>0</v>
      </c>
      <c r="F24" s="44">
        <f>'2.1.1 Bioinfiltration'!E18</f>
        <v>0</v>
      </c>
      <c r="G24" s="44">
        <f>IF(F24&lt;0.5,0,D24*F24/12/3600)</f>
        <v>0</v>
      </c>
    </row>
    <row r="25" spans="1:7" ht="25.5" customHeight="1">
      <c r="A25" s="161" t="str">
        <f>IF(AND(B45="yes",B25="yes")=TRUE,"BMP can only be counted once, please adjust &gt;&gt;&gt;","")</f>
        <v/>
      </c>
      <c r="B25" s="139"/>
      <c r="C25" s="76" t="s">
        <v>259</v>
      </c>
      <c r="D25" s="185">
        <f>IF(B25="yes",'2.1.2 Swales'!E26*('2.1.2 Swales'!E28+2*'2.1.2 Swales'!E27)*0.5,0)</f>
        <v>0</v>
      </c>
      <c r="E25" s="185">
        <f>IF(B25="yes",'2.1.2 Swales'!E53,0)</f>
        <v>0</v>
      </c>
      <c r="F25" s="44">
        <f>'2.1.2 Swales'!E20</f>
        <v>0</v>
      </c>
      <c r="G25" s="44">
        <f>IF(F25&lt;0.5,0,D25*F25/12/3600)</f>
        <v>0</v>
      </c>
    </row>
    <row r="26" spans="1:7" ht="25.5" customHeight="1">
      <c r="A26" s="161" t="str">
        <f>IF(AND(B46="yes",B26="yes")=TRUE,"BMP can only be counted once, please adjust &gt;&gt;&gt;","")</f>
        <v/>
      </c>
      <c r="B26" s="82" t="s">
        <v>260</v>
      </c>
      <c r="C26" s="76" t="s">
        <v>123</v>
      </c>
      <c r="D26" s="186" t="s">
        <v>260</v>
      </c>
      <c r="E26" s="186" t="s">
        <v>260</v>
      </c>
      <c r="F26" s="186" t="s">
        <v>260</v>
      </c>
      <c r="G26" s="186" t="s">
        <v>260</v>
      </c>
    </row>
    <row r="27" spans="1:7" ht="25.5" customHeight="1">
      <c r="A27" s="161"/>
      <c r="B27" s="139"/>
      <c r="C27" s="76" t="s">
        <v>261</v>
      </c>
      <c r="D27" s="185">
        <f>IF(B27="yes",'2.1.4 Infiltration Vault'!E26,0)</f>
        <v>0</v>
      </c>
      <c r="E27" s="185">
        <f>IF(B27="yes",'2.1.4 Infiltration Vault'!E35,0)</f>
        <v>0</v>
      </c>
      <c r="F27" s="44">
        <f>'2.1.4 Infiltration Vault'!E17</f>
        <v>0</v>
      </c>
      <c r="G27" s="44">
        <f>IF(F27&lt;0.5,0,D27*F27/12/3600)</f>
        <v>0</v>
      </c>
    </row>
    <row r="28" spans="1:7" ht="30" customHeight="1">
      <c r="A28" s="161"/>
      <c r="B28" s="82" t="s">
        <v>260</v>
      </c>
      <c r="C28" s="78" t="s">
        <v>262</v>
      </c>
      <c r="D28" s="186" t="s">
        <v>260</v>
      </c>
      <c r="E28" s="186" t="s">
        <v>260</v>
      </c>
      <c r="F28" s="186" t="s">
        <v>260</v>
      </c>
      <c r="G28" s="186" t="s">
        <v>260</v>
      </c>
    </row>
    <row r="29" spans="1:7" ht="25.5" customHeight="1">
      <c r="A29" s="161" t="str">
        <f>IF(AND(B48="yes",B29="yes")=TRUE,"BMP can only be counted once, please adjust &gt;&gt;&gt;","")</f>
        <v/>
      </c>
      <c r="B29" s="139"/>
      <c r="C29" s="79" t="s">
        <v>263</v>
      </c>
      <c r="D29" s="185">
        <f>IF(B29="yes",'2.1.7.1 Roof Runoff Planters'!E25,0)</f>
        <v>0</v>
      </c>
      <c r="E29" s="185">
        <f>IF(B29="yes",'2.1.7.1 Roof Runoff Planters'!E37,0)</f>
        <v>0</v>
      </c>
      <c r="F29" s="44">
        <f>'2.1.7.1 Roof Runoff Planters'!E17</f>
        <v>0</v>
      </c>
      <c r="G29" s="44">
        <f>IF(F29&lt;0.5,0,D29*F29/12/3600)</f>
        <v>0</v>
      </c>
    </row>
    <row r="30" spans="1:7" ht="25.5" customHeight="1">
      <c r="A30" s="161"/>
      <c r="B30" s="139"/>
      <c r="C30" s="79" t="s">
        <v>264</v>
      </c>
      <c r="D30" s="185" t="s">
        <v>260</v>
      </c>
      <c r="E30" s="185">
        <f>IF(B30="yes",'2.1.7.2 Roof Runoff Rain Barrel'!E34,0)</f>
        <v>0</v>
      </c>
      <c r="F30" s="186" t="s">
        <v>260</v>
      </c>
      <c r="G30" s="186" t="s">
        <v>260</v>
      </c>
    </row>
    <row r="31" spans="1:7" ht="25.5" customHeight="1">
      <c r="A31" s="161" t="str">
        <f>IF(AND(B49="yes",B31="yes")=TRUE,"BMP can only be counted once, please adjust &gt;&gt;&gt;","")</f>
        <v/>
      </c>
      <c r="B31" s="139"/>
      <c r="C31" s="76" t="s">
        <v>265</v>
      </c>
      <c r="D31" s="185">
        <f>IF(B31="yes",'2.1.6 Permeable Pavement'!E26,0)</f>
        <v>0</v>
      </c>
      <c r="E31" s="185">
        <f>IF(B31="yes",'2.1.6 Permeable Pavement'!E34,0)</f>
        <v>0</v>
      </c>
      <c r="F31" s="44">
        <f>'2.1.6 Permeable Pavement'!E17</f>
        <v>0</v>
      </c>
      <c r="G31" s="44">
        <f>IF(F31&lt;0.5,0,D31*F31/12/3600)</f>
        <v>0</v>
      </c>
    </row>
    <row r="32" spans="1:7" ht="25.5" customHeight="1">
      <c r="A32" s="161"/>
      <c r="B32" s="82" t="s">
        <v>260</v>
      </c>
      <c r="C32" s="80" t="s">
        <v>266</v>
      </c>
      <c r="D32" s="186" t="s">
        <v>260</v>
      </c>
      <c r="E32" s="186" t="s">
        <v>260</v>
      </c>
      <c r="F32" s="186" t="s">
        <v>260</v>
      </c>
      <c r="G32" s="186" t="s">
        <v>260</v>
      </c>
    </row>
    <row r="33" spans="2:7" ht="25.5" customHeight="1">
      <c r="C33" s="81" t="s">
        <v>267</v>
      </c>
      <c r="D33" s="187">
        <f>SUM(D24:D32)</f>
        <v>0</v>
      </c>
      <c r="E33" s="187">
        <f>SUM(E24:E32)</f>
        <v>0</v>
      </c>
      <c r="F33" s="188" t="s">
        <v>268</v>
      </c>
      <c r="G33" s="189">
        <f>SUM(G24:G32)</f>
        <v>0</v>
      </c>
    </row>
    <row r="35" spans="2:7">
      <c r="C35" t="s">
        <v>143</v>
      </c>
    </row>
    <row r="36" spans="2:7" ht="30" customHeight="1">
      <c r="C36" s="428" t="s">
        <v>269</v>
      </c>
      <c r="D36" s="428"/>
      <c r="E36" s="428"/>
      <c r="F36" s="428"/>
    </row>
    <row r="37" spans="2:7" ht="30" customHeight="1">
      <c r="C37" s="428" t="s">
        <v>270</v>
      </c>
      <c r="D37" s="428"/>
      <c r="E37" s="428"/>
      <c r="F37" s="428"/>
    </row>
    <row r="38" spans="2:7" ht="45" customHeight="1">
      <c r="C38" s="428" t="s">
        <v>271</v>
      </c>
      <c r="D38" s="428"/>
      <c r="E38" s="428"/>
      <c r="F38" s="428"/>
    </row>
    <row r="41" spans="2:7">
      <c r="C41" s="441" t="s">
        <v>272</v>
      </c>
      <c r="D41" s="441"/>
      <c r="E41" s="441"/>
    </row>
    <row r="42" spans="2:7">
      <c r="B42" s="440" t="s">
        <v>252</v>
      </c>
      <c r="C42" s="441" t="s">
        <v>253</v>
      </c>
      <c r="D42" s="442" t="s">
        <v>273</v>
      </c>
      <c r="E42" s="442" t="s">
        <v>255</v>
      </c>
    </row>
    <row r="43" spans="2:7">
      <c r="B43" s="440"/>
      <c r="C43" s="441"/>
      <c r="D43" s="442"/>
      <c r="E43" s="442"/>
    </row>
    <row r="44" spans="2:7">
      <c r="B44" s="139"/>
      <c r="C44" s="76" t="s">
        <v>258</v>
      </c>
      <c r="D44" s="185">
        <f>IF(B44="yes",'2.1.1 Bioinfiltration'!E26,0)</f>
        <v>0</v>
      </c>
      <c r="E44" s="185">
        <f>IF(B44="yes",'2.1.1 Bioinfiltration'!E37,0)</f>
        <v>0</v>
      </c>
    </row>
    <row r="45" spans="2:7">
      <c r="B45" s="139"/>
      <c r="C45" s="76" t="s">
        <v>259</v>
      </c>
      <c r="D45" s="185">
        <f>IF(B45="yes",'2.1.2 Swales'!E26*('2.1.2 Swales'!E28+2*'2.1.2 Swales'!E27)*0.5,0)</f>
        <v>0</v>
      </c>
      <c r="E45" s="185">
        <f>IF(B45="yes",'2.1.2 Swales'!E53,0)</f>
        <v>0</v>
      </c>
    </row>
    <row r="46" spans="2:7">
      <c r="B46" s="82" t="s">
        <v>260</v>
      </c>
      <c r="C46" s="76" t="s">
        <v>123</v>
      </c>
      <c r="D46" s="185" t="s">
        <v>260</v>
      </c>
      <c r="E46" s="185" t="s">
        <v>260</v>
      </c>
    </row>
    <row r="47" spans="2:7" ht="27">
      <c r="B47" s="82" t="s">
        <v>260</v>
      </c>
      <c r="C47" s="78" t="s">
        <v>262</v>
      </c>
      <c r="D47" s="186" t="s">
        <v>260</v>
      </c>
      <c r="E47" s="186" t="s">
        <v>260</v>
      </c>
    </row>
    <row r="48" spans="2:7" ht="25.5">
      <c r="B48" s="139"/>
      <c r="C48" s="79" t="s">
        <v>263</v>
      </c>
      <c r="D48" s="185">
        <f>IF(B48="yes",'2.1.7.1 Roof Runoff Planters'!E25,0)</f>
        <v>0</v>
      </c>
      <c r="E48" s="185">
        <f>IF(B48="yes",'2.1.7.1 Roof Runoff Planters'!E37,0)</f>
        <v>0</v>
      </c>
    </row>
    <row r="49" spans="2:5">
      <c r="B49" s="139"/>
      <c r="C49" s="76" t="s">
        <v>265</v>
      </c>
      <c r="D49" s="185">
        <f>IF(B49="yes",'2.1.6 Permeable Pavement'!E26,0)</f>
        <v>0</v>
      </c>
      <c r="E49" s="185">
        <f>IF(B49="yes",'2.1.6 Permeable Pavement'!E34,0)</f>
        <v>0</v>
      </c>
    </row>
    <row r="50" spans="2:5" ht="14.25">
      <c r="B50" s="82" t="s">
        <v>260</v>
      </c>
      <c r="C50" s="80" t="s">
        <v>266</v>
      </c>
      <c r="D50" s="186" t="s">
        <v>260</v>
      </c>
      <c r="E50" s="186" t="s">
        <v>260</v>
      </c>
    </row>
    <row r="51" spans="2:5">
      <c r="B51" s="98"/>
      <c r="C51" s="81" t="s">
        <v>267</v>
      </c>
      <c r="D51" s="187">
        <f>SUM(D44:D50)</f>
        <v>0</v>
      </c>
      <c r="E51" s="187">
        <f>SUM(E44:E50)</f>
        <v>0</v>
      </c>
    </row>
  </sheetData>
  <mergeCells count="15">
    <mergeCell ref="G22:G23"/>
    <mergeCell ref="C21:G21"/>
    <mergeCell ref="C22:C23"/>
    <mergeCell ref="D22:D23"/>
    <mergeCell ref="E22:E23"/>
    <mergeCell ref="B22:B23"/>
    <mergeCell ref="F22:F23"/>
    <mergeCell ref="C37:F37"/>
    <mergeCell ref="C38:F38"/>
    <mergeCell ref="C36:F36"/>
    <mergeCell ref="B42:B43"/>
    <mergeCell ref="C41:E41"/>
    <mergeCell ref="E42:E43"/>
    <mergeCell ref="C42:C43"/>
    <mergeCell ref="D42:D43"/>
  </mergeCells>
  <phoneticPr fontId="0" type="noConversion"/>
  <pageMargins left="0.73" right="0.75" top="0.73" bottom="1" header="0.5" footer="0.5"/>
  <pageSetup scale="60" firstPageNumber="5" orientation="portrait" r:id="rId1"/>
  <headerFooter alignWithMargins="0">
    <oddFooter>&amp;L&amp;8City of Chicago
Dept. of Water Management&amp;C&amp;8Permit Application&amp;R&amp;8&amp;A
Page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I53"/>
  <sheetViews>
    <sheetView showGridLines="0" zoomScaleNormal="100" workbookViewId="0">
      <selection activeCell="E11" sqref="E11"/>
    </sheetView>
  </sheetViews>
  <sheetFormatPr defaultRowHeight="12.75"/>
  <cols>
    <col min="1" max="2" width="14.5703125" customWidth="1"/>
    <col min="3" max="3" width="27.28515625" customWidth="1"/>
    <col min="4" max="4" width="10" customWidth="1"/>
    <col min="5" max="5" width="13.85546875" customWidth="1"/>
    <col min="6" max="6" width="8.42578125" customWidth="1"/>
    <col min="7" max="7" width="5" customWidth="1"/>
    <col min="8" max="8" width="18.7109375" customWidth="1"/>
    <col min="9" max="9" width="4.28515625" customWidth="1"/>
    <col min="10" max="10" width="2.85546875" customWidth="1"/>
    <col min="11" max="11" width="7.140625" customWidth="1"/>
  </cols>
  <sheetData>
    <row r="1" spans="1:9" ht="18">
      <c r="A1" s="104" t="s">
        <v>2</v>
      </c>
      <c r="B1" s="104"/>
    </row>
    <row r="2" spans="1:9" ht="18">
      <c r="A2" s="104" t="s">
        <v>3</v>
      </c>
      <c r="B2" s="104"/>
    </row>
    <row r="3" spans="1:9" ht="18">
      <c r="A3" s="104"/>
      <c r="B3" s="104"/>
    </row>
    <row r="4" spans="1:9">
      <c r="A4" t="s">
        <v>54</v>
      </c>
      <c r="B4" s="96" t="str">
        <f>IF(COVER!$D$15="","",COVER!$D$15)</f>
        <v/>
      </c>
      <c r="C4" s="96"/>
      <c r="D4" s="91"/>
    </row>
    <row r="5" spans="1:9">
      <c r="A5" t="s">
        <v>55</v>
      </c>
      <c r="B5" s="119" t="str">
        <f>IF(COVER!$D$18="","",COVER!$D$18)</f>
        <v/>
      </c>
      <c r="C5" s="119"/>
      <c r="D5" s="91"/>
    </row>
    <row r="6" spans="1:9">
      <c r="A6" t="s">
        <v>56</v>
      </c>
      <c r="B6" s="119" t="str">
        <f>IF(COVER!$F$21="","",COVER!$F$21)</f>
        <v/>
      </c>
      <c r="C6" s="119"/>
      <c r="D6" s="91"/>
    </row>
    <row r="8" spans="1:9" ht="18">
      <c r="B8" s="104" t="s">
        <v>38</v>
      </c>
      <c r="C8" s="104"/>
    </row>
    <row r="10" spans="1:9" ht="47.25" customHeight="1">
      <c r="E10" s="317" t="s">
        <v>274</v>
      </c>
      <c r="F10" s="450" t="s">
        <v>148</v>
      </c>
      <c r="G10" s="451"/>
      <c r="H10" s="451"/>
      <c r="I10" s="452"/>
    </row>
    <row r="11" spans="1:9" ht="56.25" customHeight="1">
      <c r="B11" s="24" t="s">
        <v>149</v>
      </c>
      <c r="C11" s="389" t="s">
        <v>275</v>
      </c>
      <c r="D11" s="389"/>
      <c r="E11" s="41"/>
      <c r="F11" s="391" t="str">
        <f>IF(E11="","",IF(E11="Yes", "Complete Tab 2.1.9 Oversized Detention to reduce the release rate from the detention system.  Then, return here to size the orifice for the reduced release rate.",IF(E11="No","The release rate will be taken from from Tab 1.0 Rate Control.","Answer not recognized.")))</f>
        <v/>
      </c>
      <c r="G11" s="392"/>
      <c r="H11" s="392"/>
      <c r="I11" s="393"/>
    </row>
    <row r="12" spans="1:9" ht="71.25" customHeight="1">
      <c r="B12" s="24" t="s">
        <v>151</v>
      </c>
      <c r="C12" s="389" t="s">
        <v>276</v>
      </c>
      <c r="D12" s="389"/>
      <c r="E12" s="41"/>
      <c r="F12" s="391" t="str">
        <f>IF(E12="","",IF(E12="Yes", "Complete Tab 3.1 Exceed Rate Control to reduce the release rate from the detention system.  Then, return here to size the orifice for the reduced release rate.",IF(E12="No","The release rate will be taken from from Tab 1.0 Rate Control.","Answer not recognized.")))</f>
        <v/>
      </c>
      <c r="G12" s="392"/>
      <c r="H12" s="392"/>
      <c r="I12" s="393"/>
    </row>
    <row r="14" spans="1:9">
      <c r="B14" s="453" t="s">
        <v>277</v>
      </c>
      <c r="C14" s="371"/>
      <c r="D14" s="371"/>
      <c r="E14" s="371"/>
      <c r="F14" s="509"/>
      <c r="G14" s="509"/>
      <c r="H14" s="509"/>
      <c r="I14" s="509"/>
    </row>
    <row r="15" spans="1:9">
      <c r="B15" s="371"/>
      <c r="C15" s="371"/>
      <c r="D15" s="371"/>
      <c r="E15" s="371"/>
      <c r="F15" s="509"/>
      <c r="G15" s="509"/>
      <c r="H15" s="509"/>
      <c r="I15" s="509"/>
    </row>
    <row r="16" spans="1:9" ht="28.5" customHeight="1">
      <c r="B16" s="371"/>
      <c r="C16" s="371"/>
      <c r="D16" s="371"/>
      <c r="E16" s="371"/>
      <c r="F16" s="509"/>
      <c r="G16" s="509"/>
      <c r="H16" s="509"/>
      <c r="I16" s="509"/>
    </row>
    <row r="17" spans="1:6">
      <c r="A17" s="22" t="s">
        <v>278</v>
      </c>
    </row>
    <row r="18" spans="1:6">
      <c r="A18" s="22"/>
    </row>
    <row r="19" spans="1:6" ht="15.75" customHeight="1">
      <c r="B19" s="344" t="s">
        <v>279</v>
      </c>
      <c r="C19" s="343"/>
      <c r="D19" s="264" t="s">
        <v>280</v>
      </c>
      <c r="E19" s="364">
        <f>'1.0 RATE CONTROL'!G72-'1.0 RATE CONTROL'!C65</f>
        <v>0</v>
      </c>
      <c r="F19" s="76" t="s">
        <v>168</v>
      </c>
    </row>
    <row r="20" spans="1:6" ht="15.75" customHeight="1">
      <c r="B20" s="344" t="s">
        <v>281</v>
      </c>
      <c r="C20" s="343"/>
      <c r="D20" s="235" t="s">
        <v>280</v>
      </c>
      <c r="E20" s="364" t="str">
        <f>IF(E11="Yes",'2.1.9 Oversized Detention'!D18-'1.0 RATE CONTROL'!C65,"")</f>
        <v/>
      </c>
      <c r="F20" s="76" t="s">
        <v>168</v>
      </c>
    </row>
    <row r="21" spans="1:6" ht="15.75" customHeight="1">
      <c r="B21" s="344" t="s">
        <v>282</v>
      </c>
      <c r="C21" s="343"/>
      <c r="D21" s="235" t="s">
        <v>280</v>
      </c>
      <c r="E21" s="364" t="str">
        <f>IF(E12="Yes",'3.1 Exceed Rate Control'!D18-'1.0 RATE CONTROL'!C65,"")</f>
        <v/>
      </c>
      <c r="F21" s="76" t="s">
        <v>168</v>
      </c>
    </row>
    <row r="22" spans="1:6" ht="15.75" customHeight="1">
      <c r="B22" s="344" t="s">
        <v>283</v>
      </c>
      <c r="C22" s="343"/>
      <c r="D22" s="235" t="s">
        <v>280</v>
      </c>
      <c r="E22" s="364">
        <f>MIN(E19:E21)</f>
        <v>0</v>
      </c>
      <c r="F22" s="76" t="s">
        <v>168</v>
      </c>
    </row>
    <row r="23" spans="1:6" ht="15.75" customHeight="1">
      <c r="B23" s="98"/>
      <c r="C23" s="91"/>
      <c r="D23" s="98"/>
      <c r="E23" s="365"/>
    </row>
    <row r="24" spans="1:6">
      <c r="A24" s="22" t="s">
        <v>284</v>
      </c>
    </row>
    <row r="26" spans="1:6" ht="15.75" customHeight="1">
      <c r="B26" s="234" t="s">
        <v>285</v>
      </c>
      <c r="C26" s="343"/>
      <c r="D26" s="264" t="s">
        <v>286</v>
      </c>
      <c r="E26" s="240">
        <v>20</v>
      </c>
      <c r="F26" s="76" t="s">
        <v>287</v>
      </c>
    </row>
    <row r="27" spans="1:6" ht="15.75" customHeight="1">
      <c r="B27" s="234" t="s">
        <v>288</v>
      </c>
      <c r="C27" s="343"/>
      <c r="D27" s="264"/>
      <c r="E27" s="240">
        <v>16</v>
      </c>
      <c r="F27" s="76" t="s">
        <v>287</v>
      </c>
    </row>
    <row r="28" spans="1:6" ht="15.75" customHeight="1">
      <c r="B28" s="234" t="s">
        <v>289</v>
      </c>
      <c r="C28" s="343"/>
      <c r="D28" s="264" t="s">
        <v>290</v>
      </c>
      <c r="E28" s="196">
        <f>E26-E27</f>
        <v>4</v>
      </c>
      <c r="F28" s="76" t="s">
        <v>287</v>
      </c>
    </row>
    <row r="30" spans="1:6">
      <c r="A30" s="22" t="s">
        <v>291</v>
      </c>
    </row>
    <row r="31" spans="1:6">
      <c r="A31" s="22"/>
    </row>
    <row r="32" spans="1:6">
      <c r="A32" s="22"/>
      <c r="B32" s="7" t="s">
        <v>292</v>
      </c>
    </row>
    <row r="33" spans="1:6" ht="6.75" customHeight="1">
      <c r="A33" s="22"/>
    </row>
    <row r="34" spans="1:6" ht="12" customHeight="1">
      <c r="B34" t="s">
        <v>293</v>
      </c>
      <c r="C34" s="233" t="s">
        <v>294</v>
      </c>
      <c r="E34" s="233"/>
    </row>
    <row r="35" spans="1:6" ht="6.75" customHeight="1">
      <c r="C35" s="233"/>
      <c r="E35" s="233"/>
    </row>
    <row r="36" spans="1:6" ht="15.75">
      <c r="B36" t="s">
        <v>295</v>
      </c>
      <c r="C36" t="s">
        <v>296</v>
      </c>
    </row>
    <row r="37" spans="1:6" ht="15.75">
      <c r="C37" t="s">
        <v>297</v>
      </c>
    </row>
    <row r="39" spans="1:6" ht="15.75" customHeight="1">
      <c r="B39" s="234" t="s">
        <v>298</v>
      </c>
      <c r="C39" s="343"/>
      <c r="D39" s="119"/>
      <c r="E39" s="313" t="s">
        <v>299</v>
      </c>
      <c r="F39" s="306"/>
    </row>
    <row r="40" spans="1:6" ht="15.75" customHeight="1">
      <c r="B40" s="234" t="s">
        <v>300</v>
      </c>
      <c r="C40" s="343"/>
      <c r="D40" s="264" t="s">
        <v>280</v>
      </c>
      <c r="E40" s="364">
        <f>E22</f>
        <v>0</v>
      </c>
      <c r="F40" s="76" t="s">
        <v>168</v>
      </c>
    </row>
    <row r="41" spans="1:6" ht="15.75" customHeight="1">
      <c r="B41" s="234" t="s">
        <v>301</v>
      </c>
      <c r="C41" s="343"/>
      <c r="D41" s="348" t="s">
        <v>302</v>
      </c>
      <c r="E41" s="240">
        <v>0.61</v>
      </c>
      <c r="F41" s="76" t="s">
        <v>141</v>
      </c>
    </row>
    <row r="42" spans="1:6" ht="15.75" customHeight="1">
      <c r="B42" s="234" t="s">
        <v>289</v>
      </c>
      <c r="C42" s="343"/>
      <c r="D42" s="264" t="s">
        <v>290</v>
      </c>
      <c r="E42" s="196">
        <f>IF(E28="","",E28)</f>
        <v>4</v>
      </c>
      <c r="F42" s="76" t="s">
        <v>287</v>
      </c>
    </row>
    <row r="43" spans="1:6" ht="15.75" customHeight="1">
      <c r="B43" s="98"/>
      <c r="C43" s="91"/>
      <c r="D43" s="91"/>
      <c r="E43" s="98"/>
    </row>
    <row r="44" spans="1:6" ht="15.75" customHeight="1">
      <c r="B44" s="234" t="s">
        <v>303</v>
      </c>
      <c r="C44" s="343"/>
      <c r="D44" s="264" t="s">
        <v>304</v>
      </c>
      <c r="E44" s="196" t="str">
        <f>IF(E40="","",IF(E40=0,"",IF(E41="","",IF(E42&lt;=0,"",(((4*E40)/(E41*PI()*(2*32.2*E42)^(1/2)))^(1/2)*12)))))</f>
        <v/>
      </c>
      <c r="F44" s="76" t="s">
        <v>305</v>
      </c>
    </row>
    <row r="45" spans="1:6" ht="16.5" customHeight="1">
      <c r="B45" s="315" t="str">
        <f>IF(E42&lt;0,"Calculated head is negative. Check HWL and invert elevations.",IF(E44&lt;2.5,"Minimum orifice size is 2.5 inches.  Continue below to specify a vortex restrictor.",""))</f>
        <v/>
      </c>
    </row>
    <row r="47" spans="1:6">
      <c r="A47" s="22" t="s">
        <v>306</v>
      </c>
    </row>
    <row r="49" spans="2:6" ht="15.75" customHeight="1">
      <c r="B49" s="234" t="s">
        <v>289</v>
      </c>
      <c r="C49" s="343"/>
      <c r="D49" s="264" t="s">
        <v>290</v>
      </c>
      <c r="E49" s="196">
        <f>IF(E28="","",E28)</f>
        <v>4</v>
      </c>
      <c r="F49" s="76" t="s">
        <v>287</v>
      </c>
    </row>
    <row r="50" spans="2:6" ht="16.5" customHeight="1">
      <c r="B50" s="344" t="s">
        <v>307</v>
      </c>
      <c r="C50" s="343"/>
      <c r="D50" s="235" t="s">
        <v>280</v>
      </c>
      <c r="E50" s="364" t="str">
        <f>IF(B45="","",E22)</f>
        <v/>
      </c>
      <c r="F50" s="76" t="s">
        <v>168</v>
      </c>
    </row>
    <row r="51" spans="2:6" ht="18" customHeight="1">
      <c r="B51" s="315" t="str">
        <f>IF(B45="","",IF(E50&gt;0.1249,IF(E50&lt;0.2,"Specify City of Chicago Standard 3-inch vortex restrictor.","Specify custom vortex restrictor."),"Specify custom vortex restrictor."))</f>
        <v/>
      </c>
    </row>
    <row r="52" spans="2:6" ht="38.25" customHeight="1">
      <c r="B52" s="449" t="str">
        <f>IF(B51="Specify custom vortex restrictor.","See Regulations, Appendix II-F, for Approved Vendor List for Custom Vortex Restrictors.  Minimum interior opening is 2.5 inches. ","")</f>
        <v/>
      </c>
      <c r="C52" s="433"/>
      <c r="D52" s="433"/>
      <c r="E52" s="433"/>
      <c r="F52" s="433"/>
    </row>
    <row r="53" spans="2:6" ht="60.75" customHeight="1">
      <c r="B53" s="449" t="str">
        <f>IF(B52="","","Provide the vendor the calculated head and release rate.  Include the rating curve of the selected custom vortex restrictor in the calculations.  Add custom detail to plans, and clearly specify make, model and size of custom vortex restrictor. ")</f>
        <v/>
      </c>
      <c r="C53" s="433"/>
      <c r="D53" s="433"/>
      <c r="E53" s="433"/>
      <c r="F53" s="433"/>
    </row>
  </sheetData>
  <mergeCells count="8">
    <mergeCell ref="B53:F53"/>
    <mergeCell ref="B52:F52"/>
    <mergeCell ref="C12:D12"/>
    <mergeCell ref="F12:I12"/>
    <mergeCell ref="F10:I10"/>
    <mergeCell ref="C11:D11"/>
    <mergeCell ref="F11:I11"/>
    <mergeCell ref="B14:I16"/>
  </mergeCells>
  <phoneticPr fontId="0" type="noConversion"/>
  <conditionalFormatting sqref="E44">
    <cfRule type="cellIs" dxfId="8" priority="1" stopIfTrue="1" operator="lessThan">
      <formula>2.495</formula>
    </cfRule>
  </conditionalFormatting>
  <printOptions horizontalCentered="1"/>
  <pageMargins left="0.75" right="0.75" top="1" bottom="1" header="0.5" footer="0.5"/>
  <pageSetup scale="70" orientation="portrait" r:id="rId1"/>
  <headerFooter alignWithMargins="0">
    <oddFooter>&amp;L&amp;8City of Chicago
Dept. of Water Management&amp;C&amp;8Permit Application&amp;R&amp;8&amp;A
Page 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M50"/>
  <sheetViews>
    <sheetView showGridLines="0" zoomScaleNormal="100" workbookViewId="0">
      <selection activeCell="D13" sqref="D13"/>
    </sheetView>
  </sheetViews>
  <sheetFormatPr defaultRowHeight="12.75"/>
  <cols>
    <col min="1" max="1" width="17.28515625" customWidth="1"/>
    <col min="2" max="2" width="38" customWidth="1"/>
    <col min="3" max="3" width="35.28515625" customWidth="1"/>
    <col min="4" max="4" width="17.5703125" customWidth="1"/>
    <col min="5" max="5" width="17" customWidth="1"/>
    <col min="6" max="6" width="17.7109375" customWidth="1"/>
    <col min="7" max="7" width="17.42578125" customWidth="1"/>
    <col min="8" max="8" width="29.85546875" bestFit="1" customWidth="1"/>
    <col min="9" max="9" width="29.5703125" customWidth="1"/>
  </cols>
  <sheetData>
    <row r="1" spans="1:13" ht="18">
      <c r="A1" s="104" t="s">
        <v>2</v>
      </c>
      <c r="B1" s="97"/>
      <c r="C1" s="97"/>
      <c r="D1" s="97"/>
      <c r="E1" s="97"/>
      <c r="F1" s="97"/>
      <c r="G1" s="97"/>
      <c r="H1" s="97"/>
    </row>
    <row r="2" spans="1:13" ht="18">
      <c r="A2" s="104" t="s">
        <v>3</v>
      </c>
      <c r="B2" s="97"/>
      <c r="C2" s="97"/>
      <c r="D2" s="97"/>
      <c r="E2" s="97"/>
      <c r="F2" s="97"/>
      <c r="G2" s="97"/>
      <c r="H2" s="97"/>
    </row>
    <row r="3" spans="1:13" ht="12.75" customHeight="1">
      <c r="A3" s="104"/>
      <c r="B3" s="97"/>
      <c r="C3" s="97"/>
      <c r="D3" s="97"/>
      <c r="E3" s="97"/>
      <c r="F3" s="97"/>
      <c r="G3" s="97"/>
      <c r="H3" s="97"/>
    </row>
    <row r="4" spans="1:13" ht="12.75" customHeight="1">
      <c r="A4" t="s">
        <v>54</v>
      </c>
      <c r="B4" s="96" t="str">
        <f>IF(COVER!$D$15="","",COVER!$D$15)</f>
        <v/>
      </c>
      <c r="C4" s="97"/>
      <c r="D4" s="97"/>
      <c r="E4" s="97"/>
      <c r="F4" s="97"/>
      <c r="G4" s="97"/>
      <c r="H4" s="97"/>
    </row>
    <row r="5" spans="1:13" ht="12.75" customHeight="1">
      <c r="A5" t="s">
        <v>55</v>
      </c>
      <c r="B5" s="119" t="str">
        <f>IF(COVER!$D$18="","",COVER!$D$18)</f>
        <v/>
      </c>
      <c r="C5" s="97"/>
      <c r="D5" s="97"/>
      <c r="E5" s="97"/>
      <c r="F5" s="97"/>
      <c r="G5" s="97"/>
      <c r="H5" s="97"/>
    </row>
    <row r="6" spans="1:13" ht="12.75" customHeight="1">
      <c r="A6" t="s">
        <v>56</v>
      </c>
      <c r="B6" s="119" t="str">
        <f>IF(COVER!$F$21="","",COVER!$F$21)</f>
        <v/>
      </c>
      <c r="C6" s="97"/>
      <c r="D6" s="97"/>
      <c r="E6" s="97"/>
      <c r="F6" s="97"/>
      <c r="G6" s="97"/>
      <c r="H6" s="97"/>
    </row>
    <row r="7" spans="1:13" ht="12.75" customHeight="1"/>
    <row r="8" spans="1:13" ht="18">
      <c r="A8" s="104" t="s">
        <v>308</v>
      </c>
    </row>
    <row r="9" spans="1:13">
      <c r="A9" s="3"/>
      <c r="C9" s="3"/>
      <c r="D9" s="3"/>
      <c r="E9" s="3"/>
      <c r="F9" s="5"/>
      <c r="G9" s="53"/>
      <c r="H9" s="53"/>
      <c r="I9" s="29"/>
      <c r="J9" s="29"/>
      <c r="K9" s="29"/>
      <c r="L9" s="29"/>
      <c r="M9" s="29"/>
    </row>
    <row r="10" spans="1:13">
      <c r="A10" s="6"/>
      <c r="B10" s="7"/>
      <c r="C10" s="6"/>
      <c r="D10" s="6"/>
      <c r="E10" s="6"/>
      <c r="F10" s="6"/>
      <c r="G10" s="53"/>
      <c r="H10" s="53"/>
      <c r="I10" s="29"/>
      <c r="J10" s="29"/>
      <c r="K10" s="29"/>
      <c r="L10" s="29"/>
      <c r="M10" s="29"/>
    </row>
    <row r="11" spans="1:13">
      <c r="A11" s="21" t="s">
        <v>107</v>
      </c>
      <c r="B11" s="4" t="s">
        <v>108</v>
      </c>
      <c r="C11" s="6"/>
      <c r="D11" s="456" t="s">
        <v>309</v>
      </c>
      <c r="E11" s="456" t="s">
        <v>310</v>
      </c>
      <c r="F11" s="457"/>
      <c r="G11" s="73"/>
      <c r="H11" s="29"/>
      <c r="I11" s="29"/>
      <c r="J11" s="29"/>
      <c r="K11" s="29"/>
      <c r="L11" s="29"/>
      <c r="M11" s="29"/>
    </row>
    <row r="12" spans="1:13">
      <c r="A12" s="6"/>
      <c r="B12" s="6"/>
      <c r="C12" s="6"/>
      <c r="D12" s="456"/>
      <c r="E12" s="456"/>
      <c r="F12" s="457"/>
      <c r="G12" s="74"/>
      <c r="H12" s="29"/>
      <c r="I12" s="29"/>
      <c r="J12" s="29"/>
      <c r="K12" s="29"/>
      <c r="L12" s="29"/>
      <c r="M12" s="29"/>
    </row>
    <row r="13" spans="1:13">
      <c r="A13" s="6"/>
      <c r="B13" s="458" t="s">
        <v>311</v>
      </c>
      <c r="C13" s="8" t="s">
        <v>312</v>
      </c>
      <c r="D13" s="37"/>
      <c r="E13" s="37"/>
      <c r="F13" s="13"/>
      <c r="G13" s="366"/>
      <c r="H13" s="29"/>
      <c r="J13" s="29"/>
      <c r="K13" s="29"/>
      <c r="L13" s="29"/>
      <c r="M13" s="29"/>
    </row>
    <row r="14" spans="1:13">
      <c r="A14" s="6"/>
      <c r="B14" s="459"/>
      <c r="C14" s="8" t="s">
        <v>313</v>
      </c>
      <c r="D14" s="37"/>
      <c r="E14" s="37"/>
      <c r="F14" s="13"/>
      <c r="G14" s="366"/>
      <c r="H14" s="29"/>
      <c r="J14" s="29"/>
      <c r="K14" s="29"/>
      <c r="L14" s="29"/>
      <c r="M14" s="29"/>
    </row>
    <row r="15" spans="1:13">
      <c r="A15" s="6"/>
      <c r="B15" s="459"/>
      <c r="C15" s="8" t="s">
        <v>314</v>
      </c>
      <c r="D15" s="37"/>
      <c r="E15" s="37"/>
      <c r="F15" s="13"/>
      <c r="G15" s="366"/>
      <c r="H15" s="29"/>
      <c r="J15" s="29"/>
      <c r="K15" s="29"/>
      <c r="L15" s="29"/>
      <c r="M15" s="29"/>
    </row>
    <row r="16" spans="1:13">
      <c r="A16" s="6"/>
      <c r="B16" s="460"/>
      <c r="C16" s="8" t="s">
        <v>122</v>
      </c>
      <c r="D16" s="37"/>
      <c r="E16" s="37"/>
      <c r="F16" s="13"/>
      <c r="G16" s="366"/>
      <c r="H16" s="29"/>
      <c r="I16" s="87"/>
      <c r="J16" s="29"/>
      <c r="K16" s="29"/>
      <c r="L16" s="29"/>
      <c r="M16" s="29"/>
    </row>
    <row r="17" spans="1:13">
      <c r="A17" s="6"/>
      <c r="B17" s="454" t="s">
        <v>124</v>
      </c>
      <c r="C17" s="8" t="s">
        <v>125</v>
      </c>
      <c r="D17" s="37"/>
      <c r="E17" s="37"/>
      <c r="F17" s="13"/>
      <c r="G17" s="366"/>
      <c r="H17" s="29"/>
      <c r="I17" s="87"/>
      <c r="J17" s="29"/>
      <c r="K17" s="29"/>
      <c r="L17" s="29"/>
      <c r="M17" s="29"/>
    </row>
    <row r="18" spans="1:13">
      <c r="A18" s="6"/>
      <c r="B18" s="455"/>
      <c r="C18" s="8" t="s">
        <v>126</v>
      </c>
      <c r="D18" s="37"/>
      <c r="E18" s="37"/>
      <c r="F18" s="13"/>
      <c r="G18" s="366"/>
      <c r="H18" s="29"/>
      <c r="J18" s="29"/>
      <c r="K18" s="29"/>
      <c r="L18" s="29"/>
      <c r="M18" s="29"/>
    </row>
    <row r="19" spans="1:13">
      <c r="A19" s="6"/>
      <c r="B19" s="455"/>
      <c r="C19" s="8" t="s">
        <v>127</v>
      </c>
      <c r="D19" s="37"/>
      <c r="E19" s="37"/>
      <c r="F19" s="13"/>
      <c r="G19" s="366"/>
      <c r="H19" s="29"/>
      <c r="I19" s="91"/>
      <c r="J19" s="29"/>
      <c r="K19" s="29"/>
      <c r="L19" s="29"/>
      <c r="M19" s="29"/>
    </row>
    <row r="20" spans="1:13" ht="25.5">
      <c r="A20" s="6"/>
      <c r="B20" s="455"/>
      <c r="C20" s="26" t="s">
        <v>315</v>
      </c>
      <c r="D20" s="37"/>
      <c r="E20" s="37"/>
      <c r="F20" s="13"/>
      <c r="G20" s="366"/>
      <c r="H20" s="29"/>
      <c r="I20" s="29"/>
      <c r="J20" s="29"/>
      <c r="K20" s="29"/>
      <c r="L20" s="29"/>
      <c r="M20" s="29"/>
    </row>
    <row r="21" spans="1:13">
      <c r="A21" s="6"/>
      <c r="B21" s="461" t="s">
        <v>316</v>
      </c>
      <c r="C21" s="76" t="s">
        <v>123</v>
      </c>
      <c r="D21" s="89" t="s">
        <v>268</v>
      </c>
      <c r="E21" s="37"/>
      <c r="F21" s="13"/>
      <c r="G21" s="366"/>
      <c r="H21" s="29"/>
      <c r="I21" s="29"/>
      <c r="J21" s="29"/>
      <c r="K21" s="29"/>
      <c r="L21" s="29"/>
      <c r="M21" s="29"/>
    </row>
    <row r="22" spans="1:13">
      <c r="A22" s="6"/>
      <c r="B22" s="461"/>
      <c r="C22" s="90" t="s">
        <v>317</v>
      </c>
      <c r="D22" s="89" t="s">
        <v>268</v>
      </c>
      <c r="E22" s="37"/>
      <c r="F22" s="13"/>
      <c r="G22" s="366"/>
      <c r="H22" s="29"/>
      <c r="I22" s="29"/>
      <c r="J22" s="29"/>
      <c r="K22" s="29"/>
      <c r="L22" s="29"/>
      <c r="M22" s="29"/>
    </row>
    <row r="23" spans="1:13">
      <c r="A23" s="6"/>
      <c r="B23" s="461"/>
      <c r="C23" s="90" t="s">
        <v>318</v>
      </c>
      <c r="D23" s="89" t="s">
        <v>268</v>
      </c>
      <c r="E23" s="37"/>
      <c r="F23" s="13"/>
      <c r="G23" s="366"/>
      <c r="H23" s="29"/>
      <c r="I23" s="29"/>
      <c r="J23" s="29"/>
      <c r="K23" s="29"/>
      <c r="L23" s="29"/>
      <c r="M23" s="29"/>
    </row>
    <row r="24" spans="1:13">
      <c r="A24" s="6"/>
      <c r="B24" s="461"/>
      <c r="C24" s="90" t="s">
        <v>319</v>
      </c>
      <c r="D24" s="89" t="s">
        <v>268</v>
      </c>
      <c r="E24" s="37"/>
      <c r="F24" s="13"/>
      <c r="G24" s="366"/>
      <c r="H24" s="29"/>
      <c r="I24" s="29"/>
      <c r="J24" s="29"/>
      <c r="K24" s="29"/>
      <c r="L24" s="29"/>
      <c r="M24" s="29"/>
    </row>
    <row r="25" spans="1:13">
      <c r="A25" s="6"/>
      <c r="B25" s="461"/>
      <c r="C25" s="90" t="s">
        <v>320</v>
      </c>
      <c r="D25" s="89" t="s">
        <v>268</v>
      </c>
      <c r="E25" s="37"/>
      <c r="F25" s="13"/>
      <c r="G25" s="366"/>
      <c r="H25" s="29"/>
      <c r="I25" s="29"/>
      <c r="J25" s="29"/>
      <c r="K25" s="29"/>
      <c r="L25" s="29"/>
      <c r="M25" s="29"/>
    </row>
    <row r="26" spans="1:13">
      <c r="A26" s="6"/>
      <c r="B26" s="461"/>
      <c r="C26" s="8" t="s">
        <v>321</v>
      </c>
      <c r="D26" s="89" t="s">
        <v>268</v>
      </c>
      <c r="E26" s="37"/>
      <c r="F26" s="13"/>
      <c r="G26" s="366"/>
      <c r="H26" s="29"/>
      <c r="I26" s="29"/>
      <c r="J26" s="29"/>
      <c r="K26" s="29"/>
      <c r="L26" s="29"/>
      <c r="M26" s="29"/>
    </row>
    <row r="27" spans="1:13">
      <c r="A27" s="6"/>
      <c r="B27" s="461"/>
      <c r="C27" s="90" t="s">
        <v>322</v>
      </c>
      <c r="D27" s="89" t="s">
        <v>268</v>
      </c>
      <c r="E27" s="37"/>
      <c r="F27" s="13"/>
      <c r="G27" s="366"/>
      <c r="H27" s="29"/>
      <c r="I27" s="29"/>
      <c r="J27" s="29"/>
      <c r="K27" s="29"/>
      <c r="L27" s="29"/>
      <c r="M27" s="29"/>
    </row>
    <row r="28" spans="1:13">
      <c r="A28" s="6"/>
      <c r="B28" s="461"/>
      <c r="C28" s="8" t="s">
        <v>323</v>
      </c>
      <c r="D28" s="89" t="s">
        <v>268</v>
      </c>
      <c r="E28" s="37"/>
      <c r="F28" s="13"/>
      <c r="G28" s="366"/>
      <c r="H28" s="29"/>
      <c r="I28" s="29"/>
      <c r="J28" s="29"/>
      <c r="K28" s="29"/>
      <c r="L28" s="29"/>
      <c r="M28" s="29"/>
    </row>
    <row r="29" spans="1:13">
      <c r="A29" s="6"/>
      <c r="B29" s="9"/>
      <c r="C29" s="6"/>
      <c r="D29" s="6"/>
      <c r="E29" s="6"/>
      <c r="F29" s="6"/>
      <c r="G29" s="367"/>
      <c r="H29" s="367"/>
      <c r="I29" s="29"/>
      <c r="J29" s="29"/>
      <c r="K29" s="29"/>
      <c r="L29" s="29"/>
      <c r="M29" s="29"/>
    </row>
    <row r="30" spans="1:13">
      <c r="A30" s="6"/>
      <c r="B30" s="386" t="s">
        <v>134</v>
      </c>
      <c r="C30" s="10" t="s">
        <v>324</v>
      </c>
      <c r="D30" s="183">
        <f>SUM(D13:D16)</f>
        <v>0</v>
      </c>
      <c r="E30" s="183">
        <f>SUM(E13:E16)</f>
        <v>0</v>
      </c>
      <c r="F30" s="7"/>
      <c r="G30" s="29"/>
      <c r="H30" s="53"/>
      <c r="I30" s="29"/>
      <c r="J30" s="29"/>
      <c r="K30" s="29"/>
      <c r="L30" s="29"/>
      <c r="M30" s="29"/>
    </row>
    <row r="31" spans="1:13">
      <c r="A31" s="6"/>
      <c r="B31" s="387"/>
      <c r="C31" s="10" t="s">
        <v>325</v>
      </c>
      <c r="D31" s="183">
        <f>SUM(D17:D20)</f>
        <v>0</v>
      </c>
      <c r="E31" s="183">
        <f>SUM(E17:E20)</f>
        <v>0</v>
      </c>
      <c r="F31" s="7"/>
      <c r="G31" s="29"/>
      <c r="H31" s="53"/>
      <c r="I31" s="29"/>
      <c r="J31" s="29"/>
      <c r="K31" s="29"/>
      <c r="L31" s="29"/>
      <c r="M31" s="29"/>
    </row>
    <row r="32" spans="1:13" ht="25.5" customHeight="1">
      <c r="A32" s="6"/>
      <c r="B32" s="387"/>
      <c r="C32" s="77" t="s">
        <v>326</v>
      </c>
      <c r="D32" s="89" t="s">
        <v>268</v>
      </c>
      <c r="E32" s="183">
        <f>IF(C42="no",E22,0)</f>
        <v>0</v>
      </c>
      <c r="F32" s="7" t="str">
        <f>IF(E22&lt;&gt;0,"Please be sure to answer Question 3 below","")</f>
        <v/>
      </c>
      <c r="G32" s="29"/>
      <c r="H32" s="53"/>
      <c r="I32" s="29"/>
      <c r="J32" s="29"/>
      <c r="K32" s="29"/>
      <c r="L32" s="29"/>
      <c r="M32" s="29"/>
    </row>
    <row r="33" spans="1:13" ht="25.5">
      <c r="A33" s="6"/>
      <c r="B33" s="387"/>
      <c r="C33" s="77" t="s">
        <v>327</v>
      </c>
      <c r="D33" s="89" t="s">
        <v>268</v>
      </c>
      <c r="E33" s="183">
        <f>IF(C42="yes",SUM(E21:E28),E21+SUM(E23:E28))</f>
        <v>0</v>
      </c>
      <c r="F33" s="7" t="str">
        <f>IF(E22&lt;&gt;0,"Please be sure to answer Question 3 below","")</f>
        <v/>
      </c>
      <c r="G33" s="29"/>
      <c r="H33" s="53"/>
      <c r="I33" s="29"/>
      <c r="J33" s="29"/>
      <c r="K33" s="29"/>
      <c r="L33" s="29"/>
      <c r="M33" s="29"/>
    </row>
    <row r="34" spans="1:13">
      <c r="A34" s="6"/>
      <c r="B34" s="387"/>
      <c r="C34" s="10" t="s">
        <v>328</v>
      </c>
      <c r="D34" s="183">
        <f>SUM(D30:D33)</f>
        <v>0</v>
      </c>
      <c r="E34" s="183">
        <f>SUM(E30:E33)</f>
        <v>0</v>
      </c>
      <c r="F34" s="315" t="str">
        <f>IF(E34&lt;&gt;D34,"ERROR: Existing and Proposed areas are not equal."," ")</f>
        <v xml:space="preserve"> </v>
      </c>
      <c r="G34" s="29"/>
      <c r="H34" s="53"/>
      <c r="I34" s="29"/>
      <c r="J34" s="29"/>
      <c r="K34" s="29"/>
      <c r="L34" s="29"/>
      <c r="M34" s="29"/>
    </row>
    <row r="35" spans="1:13">
      <c r="A35" s="6"/>
      <c r="B35" s="388"/>
      <c r="C35" s="10" t="s">
        <v>329</v>
      </c>
      <c r="D35" s="191">
        <f>IF(D31=0,0,D31/D34*100)</f>
        <v>0</v>
      </c>
      <c r="E35" s="191">
        <f>IF(E31=0,0,(E31+E32)/(E34)*100)</f>
        <v>0</v>
      </c>
      <c r="G35" s="29"/>
      <c r="H35" s="53"/>
      <c r="I35" s="29"/>
      <c r="J35" s="29"/>
      <c r="K35" s="29"/>
      <c r="L35" s="29"/>
      <c r="M35" s="29"/>
    </row>
    <row r="36" spans="1:13">
      <c r="A36" s="6"/>
      <c r="C36" s="6"/>
      <c r="D36" s="18"/>
      <c r="E36" s="18"/>
      <c r="F36" s="92"/>
      <c r="G36" s="29"/>
      <c r="H36" s="53"/>
      <c r="I36" s="29"/>
      <c r="J36" s="29"/>
      <c r="K36" s="29"/>
      <c r="L36" s="29"/>
      <c r="M36" s="29"/>
    </row>
    <row r="37" spans="1:13">
      <c r="A37" s="21" t="s">
        <v>145</v>
      </c>
      <c r="B37" s="20" t="s">
        <v>330</v>
      </c>
      <c r="E37" s="6"/>
      <c r="F37" s="6"/>
      <c r="G37" s="53"/>
      <c r="H37" s="53"/>
      <c r="I37" s="29"/>
      <c r="J37" s="29"/>
      <c r="K37" s="29"/>
      <c r="L37" s="29"/>
      <c r="M37" s="29"/>
    </row>
    <row r="38" spans="1:13">
      <c r="C38" s="417" t="s">
        <v>147</v>
      </c>
      <c r="D38" s="462" t="s">
        <v>331</v>
      </c>
      <c r="E38" s="462"/>
      <c r="F38" s="462"/>
      <c r="G38" s="115"/>
      <c r="H38" s="53"/>
      <c r="I38" s="29"/>
      <c r="J38" s="29"/>
      <c r="K38" s="29"/>
      <c r="L38" s="29"/>
      <c r="M38" s="29"/>
    </row>
    <row r="39" spans="1:13">
      <c r="A39" s="6"/>
      <c r="B39" s="15"/>
      <c r="C39" s="418"/>
      <c r="D39" s="462"/>
      <c r="E39" s="462"/>
      <c r="F39" s="462"/>
      <c r="G39" s="115"/>
      <c r="H39" s="53"/>
      <c r="I39" s="29"/>
      <c r="J39" s="29"/>
      <c r="K39" s="29"/>
      <c r="L39" s="29"/>
      <c r="M39" s="29"/>
    </row>
    <row r="40" spans="1:13" ht="60" customHeight="1">
      <c r="A40" s="24" t="s">
        <v>149</v>
      </c>
      <c r="B40" s="40" t="s">
        <v>150</v>
      </c>
      <c r="C40" s="41"/>
      <c r="D40" s="463" t="str">
        <f>IF(C40="yes", "Roof area can be directed to Waters and not included in volume control calculations, delete roof from table above and make note to that effect.  Volume control measures must be employed for the remainder of the site", " ")</f>
        <v xml:space="preserve"> </v>
      </c>
      <c r="E40" s="463"/>
      <c r="F40" s="463"/>
      <c r="G40" s="116"/>
      <c r="H40" s="53"/>
      <c r="I40" s="29"/>
      <c r="J40" s="29"/>
      <c r="K40" s="29"/>
      <c r="L40" s="29"/>
      <c r="M40" s="29"/>
    </row>
    <row r="41" spans="1:13" ht="43.5" customHeight="1">
      <c r="A41" s="24" t="s">
        <v>151</v>
      </c>
      <c r="B41" s="40" t="s">
        <v>332</v>
      </c>
      <c r="C41" s="41"/>
      <c r="D41" s="463" t="str">
        <f>IF(C41="no", IF(C40="Yes","Infiltration BMPs are not allowed.  Achieve volume control requirement through Oversized Detention.","Infiltration BMPs are not allowed.  Achieve volume control requirement through 15% impervious area reduction or by Oversized Detention."), " ")</f>
        <v xml:space="preserve"> </v>
      </c>
      <c r="E41" s="463"/>
      <c r="F41" s="463"/>
      <c r="G41" s="116"/>
      <c r="H41" s="53"/>
      <c r="I41" s="29"/>
      <c r="J41" s="29"/>
      <c r="K41" s="29"/>
      <c r="L41" s="29"/>
      <c r="M41" s="29"/>
    </row>
    <row r="42" spans="1:13" ht="66" customHeight="1">
      <c r="A42" s="24" t="s">
        <v>153</v>
      </c>
      <c r="B42" s="40" t="s">
        <v>333</v>
      </c>
      <c r="C42" s="41"/>
      <c r="D42" s="463" t="str">
        <f>IF(C42="","",IF(C42="no", "Areas of permeable pavement are included as an impervious surface for the computation made in Cell C48. Storage will be counted toward volume control goal.", "Permeable pavement is treated only as a pervious surface and not included as impermeable surfaces when computing required volume control volume (Cell C48)" ))</f>
        <v/>
      </c>
      <c r="E42" s="463"/>
      <c r="F42" s="463"/>
      <c r="G42" s="116"/>
      <c r="H42" s="53"/>
      <c r="I42" s="29"/>
      <c r="J42" s="29"/>
      <c r="K42" s="29"/>
      <c r="L42" s="29"/>
      <c r="M42" s="29"/>
    </row>
    <row r="43" spans="1:13">
      <c r="A43" s="2"/>
      <c r="B43" s="24"/>
      <c r="C43" s="69"/>
      <c r="D43" s="94"/>
      <c r="E43" s="48"/>
      <c r="F43" s="48"/>
      <c r="G43" s="48"/>
      <c r="H43" s="53"/>
      <c r="I43" s="29"/>
      <c r="J43" s="29"/>
      <c r="K43" s="29"/>
      <c r="L43" s="29"/>
      <c r="M43" s="29"/>
    </row>
    <row r="44" spans="1:13">
      <c r="A44" s="2"/>
      <c r="B44" s="2"/>
      <c r="C44" s="2"/>
      <c r="D44" s="2"/>
      <c r="E44" s="2"/>
      <c r="F44" s="7"/>
      <c r="G44" s="7"/>
      <c r="H44" s="7"/>
      <c r="I44" s="7"/>
    </row>
    <row r="45" spans="1:13">
      <c r="A45" s="23" t="s">
        <v>334</v>
      </c>
      <c r="B45" s="22" t="s">
        <v>335</v>
      </c>
      <c r="C45" s="2"/>
      <c r="D45" s="2"/>
      <c r="E45" s="2"/>
      <c r="F45" s="2"/>
      <c r="G45" s="2"/>
      <c r="H45" s="2"/>
    </row>
    <row r="46" spans="1:13" ht="20.25">
      <c r="A46" s="11"/>
      <c r="B46" s="7" t="s">
        <v>336</v>
      </c>
      <c r="C46" s="7"/>
      <c r="D46" s="7"/>
      <c r="E46" s="7"/>
      <c r="F46" s="7"/>
      <c r="G46" s="7"/>
      <c r="H46" s="2"/>
    </row>
    <row r="47" spans="1:13" ht="41.25" customHeight="1">
      <c r="A47" s="93" t="s">
        <v>337</v>
      </c>
      <c r="B47" s="27" t="s">
        <v>338</v>
      </c>
      <c r="C47" s="192">
        <f>0.5/12*(E31+E32)</f>
        <v>0</v>
      </c>
      <c r="D47" s="35" t="s">
        <v>339</v>
      </c>
      <c r="E47" s="419" t="s">
        <v>340</v>
      </c>
      <c r="F47" s="421"/>
      <c r="G47" s="117"/>
      <c r="H47" s="2"/>
    </row>
    <row r="48" spans="1:13" ht="67.5" customHeight="1">
      <c r="A48" s="93" t="s">
        <v>341</v>
      </c>
      <c r="B48" s="36" t="s">
        <v>342</v>
      </c>
      <c r="C48" s="193" t="str">
        <f>IF(C40="Yes","Not applicable when site drains to waters",IF(D35&lt;15,"-",D35-15))</f>
        <v>-</v>
      </c>
      <c r="D48" s="35" t="s">
        <v>343</v>
      </c>
      <c r="E48" s="419" t="str">
        <f>IF(C40="Yes","For sites draining to waters, a 0.5"" capture of runoff from impervious surfaces is required.  An impervious area reduction will not meet the volume control requirements.",IF(C48="-","",IF(E35&lt;=C48,"REQUIREMENT MET!  Imperviousness reduction meets volume control requirements", "Imperviousness reduction not met")))</f>
        <v/>
      </c>
      <c r="F48" s="421"/>
      <c r="G48" s="117"/>
      <c r="H48" s="2"/>
    </row>
    <row r="49" spans="1:8" ht="42" customHeight="1">
      <c r="A49" s="11"/>
      <c r="B49" s="390"/>
      <c r="C49" s="390"/>
      <c r="D49" s="390"/>
      <c r="E49" s="92"/>
      <c r="F49" s="7"/>
      <c r="G49" s="7"/>
      <c r="H49" s="2"/>
    </row>
    <row r="50" spans="1:8" ht="17.25" customHeight="1">
      <c r="A50" s="11"/>
      <c r="B50" s="25"/>
      <c r="C50" s="25"/>
      <c r="D50" s="25"/>
      <c r="E50" s="7"/>
      <c r="F50" s="7"/>
      <c r="G50" s="7"/>
      <c r="H50" s="2"/>
    </row>
  </sheetData>
  <mergeCells count="15">
    <mergeCell ref="D40:F40"/>
    <mergeCell ref="D41:F41"/>
    <mergeCell ref="D42:F42"/>
    <mergeCell ref="B30:B35"/>
    <mergeCell ref="B49:D49"/>
    <mergeCell ref="E47:F47"/>
    <mergeCell ref="E48:F48"/>
    <mergeCell ref="B17:B20"/>
    <mergeCell ref="D11:D12"/>
    <mergeCell ref="C38:C39"/>
    <mergeCell ref="F11:F12"/>
    <mergeCell ref="E11:E12"/>
    <mergeCell ref="B13:B16"/>
    <mergeCell ref="B21:B28"/>
    <mergeCell ref="D38:F39"/>
  </mergeCells>
  <phoneticPr fontId="0" type="noConversion"/>
  <pageMargins left="0.75" right="0.75" top="1" bottom="1" header="0.5" footer="0.5"/>
  <pageSetup scale="63" firstPageNumber="4" orientation="portrait" r:id="rId1"/>
  <headerFooter alignWithMargins="0">
    <oddFooter>&amp;L&amp;8City of Chicago
Dept. of Water Management&amp;C&amp;8Permit Application&amp;R&amp;8&amp;A
Page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37"/>
  <sheetViews>
    <sheetView zoomScaleNormal="100" workbookViewId="0">
      <selection activeCell="E11" sqref="E11"/>
    </sheetView>
  </sheetViews>
  <sheetFormatPr defaultRowHeight="12.75"/>
  <cols>
    <col min="1" max="1" width="16" customWidth="1"/>
    <col min="2" max="2" width="6.140625" style="86" customWidth="1"/>
    <col min="3" max="3" width="39.28515625" customWidth="1"/>
    <col min="4" max="4" width="14.42578125" style="98" customWidth="1"/>
    <col min="5" max="5" width="14" customWidth="1"/>
    <col min="6" max="6" width="11.28515625" customWidth="1"/>
  </cols>
  <sheetData>
    <row r="1" spans="1:8" ht="18">
      <c r="A1" s="104" t="s">
        <v>2</v>
      </c>
      <c r="B1" s="97"/>
      <c r="C1" s="97"/>
      <c r="D1" s="97"/>
      <c r="E1" s="97"/>
      <c r="F1" s="97"/>
      <c r="G1" s="97"/>
      <c r="H1" s="97"/>
    </row>
    <row r="2" spans="1:8" ht="18">
      <c r="A2" s="104" t="s">
        <v>3</v>
      </c>
      <c r="B2" s="97"/>
      <c r="C2" s="97"/>
      <c r="D2" s="97"/>
      <c r="E2" s="97"/>
      <c r="F2" s="97"/>
      <c r="G2" s="97"/>
      <c r="H2" s="97"/>
    </row>
    <row r="3" spans="1:8" ht="12.75" customHeight="1">
      <c r="A3" s="104"/>
      <c r="B3" s="97"/>
      <c r="C3" s="97"/>
      <c r="D3" s="97"/>
      <c r="E3" s="97"/>
      <c r="F3" s="97"/>
      <c r="G3" s="97"/>
      <c r="H3" s="97"/>
    </row>
    <row r="4" spans="1:8" ht="12.75" customHeight="1">
      <c r="A4" t="s">
        <v>54</v>
      </c>
      <c r="B4" s="96" t="str">
        <f>IF(COVER!$D$15="","",COVER!$D$15)</f>
        <v/>
      </c>
      <c r="C4" s="118"/>
      <c r="D4" s="97"/>
      <c r="E4" s="97"/>
      <c r="F4" s="97"/>
      <c r="G4" s="97"/>
      <c r="H4" s="97"/>
    </row>
    <row r="5" spans="1:8" ht="12.75" customHeight="1">
      <c r="A5" t="s">
        <v>55</v>
      </c>
      <c r="B5" s="119" t="str">
        <f>IF(COVER!$D$18="","",COVER!$D$18)</f>
        <v/>
      </c>
      <c r="C5" s="120"/>
      <c r="D5" s="97"/>
      <c r="E5" s="97"/>
      <c r="F5" s="97"/>
      <c r="G5" s="97"/>
      <c r="H5" s="97"/>
    </row>
    <row r="6" spans="1:8" ht="12.75" customHeight="1">
      <c r="A6" t="s">
        <v>56</v>
      </c>
      <c r="B6" s="119" t="str">
        <f>IF(COVER!$F$21="","",COVER!$F$21)</f>
        <v/>
      </c>
      <c r="C6" s="120"/>
      <c r="D6" s="97"/>
      <c r="E6" s="97"/>
      <c r="F6" s="97"/>
      <c r="G6" s="97"/>
      <c r="H6" s="97"/>
    </row>
    <row r="8" spans="1:8" ht="15.75">
      <c r="B8" s="129" t="s">
        <v>344</v>
      </c>
    </row>
    <row r="10" spans="1:8">
      <c r="B10" s="465" t="s">
        <v>345</v>
      </c>
      <c r="C10" s="465"/>
      <c r="D10" s="465"/>
      <c r="E10" s="465"/>
      <c r="F10" s="465"/>
    </row>
    <row r="11" spans="1:8" ht="15.75">
      <c r="B11" s="130">
        <v>1</v>
      </c>
      <c r="C11" s="131" t="s">
        <v>346</v>
      </c>
      <c r="D11" s="83" t="s">
        <v>347</v>
      </c>
      <c r="E11" s="121"/>
      <c r="F11" s="76" t="s">
        <v>348</v>
      </c>
    </row>
    <row r="12" spans="1:8" ht="25.5">
      <c r="B12" s="132">
        <v>2</v>
      </c>
      <c r="C12" s="133" t="s">
        <v>349</v>
      </c>
      <c r="D12" s="83" t="s">
        <v>198</v>
      </c>
      <c r="E12" s="134">
        <v>1</v>
      </c>
      <c r="F12" s="76" t="s">
        <v>141</v>
      </c>
    </row>
    <row r="13" spans="1:8" ht="33.75" customHeight="1">
      <c r="B13" s="132">
        <v>3</v>
      </c>
      <c r="C13" s="135" t="str">
        <f>IF('1.0 RATE CONTROL'!E45="Yes","Volume of upstream runoff from a 1/2-inch storm = C * At * (0.5) * 1/12","Volume of upstream runoff from a 1-inch storm = C * At * 1/12")</f>
        <v>Volume of upstream runoff from a 1-inch storm = C * At * 1/12</v>
      </c>
      <c r="D13" s="83" t="s">
        <v>350</v>
      </c>
      <c r="E13" s="185">
        <f>IF('1.0 RATE CONTROL'!E45="Yes",E12*E11*(0.5)*(1/12),E12*E11*1/12)</f>
        <v>0</v>
      </c>
      <c r="F13" s="76" t="s">
        <v>339</v>
      </c>
    </row>
    <row r="14" spans="1:8" ht="36" customHeight="1">
      <c r="B14" s="130">
        <v>4</v>
      </c>
      <c r="C14" s="135" t="s">
        <v>351</v>
      </c>
      <c r="D14" s="467"/>
      <c r="E14" s="468"/>
      <c r="F14" s="469"/>
    </row>
    <row r="15" spans="1:8" ht="36" customHeight="1">
      <c r="B15" s="130">
        <v>5</v>
      </c>
      <c r="C15" s="135" t="s">
        <v>352</v>
      </c>
      <c r="D15" s="467"/>
      <c r="E15" s="468"/>
      <c r="F15" s="469"/>
    </row>
    <row r="16" spans="1:8">
      <c r="B16"/>
    </row>
    <row r="17" spans="2:6">
      <c r="B17" s="465" t="s">
        <v>353</v>
      </c>
      <c r="C17" s="465"/>
      <c r="D17" s="465"/>
      <c r="E17" s="465"/>
      <c r="F17" s="465"/>
    </row>
    <row r="18" spans="2:6" ht="39.75" customHeight="1">
      <c r="B18" s="130">
        <v>6</v>
      </c>
      <c r="C18" s="135" t="s">
        <v>354</v>
      </c>
      <c r="D18" s="83" t="s">
        <v>355</v>
      </c>
      <c r="E18" s="134"/>
      <c r="F18" s="76" t="s">
        <v>356</v>
      </c>
    </row>
    <row r="19" spans="2:6" ht="38.25">
      <c r="B19" s="132">
        <v>7</v>
      </c>
      <c r="C19" s="135" t="s">
        <v>357</v>
      </c>
      <c r="D19" s="82" t="s">
        <v>358</v>
      </c>
      <c r="E19" s="159"/>
      <c r="F19" s="78" t="s">
        <v>287</v>
      </c>
    </row>
    <row r="20" spans="2:6" ht="31.5" customHeight="1">
      <c r="B20" s="132">
        <v>8</v>
      </c>
      <c r="C20" s="135" t="s">
        <v>359</v>
      </c>
      <c r="D20" s="82" t="s">
        <v>360</v>
      </c>
      <c r="E20" s="159"/>
      <c r="F20" s="78" t="s">
        <v>287</v>
      </c>
    </row>
    <row r="21" spans="2:6" ht="38.25">
      <c r="B21" s="132">
        <v>9</v>
      </c>
      <c r="C21" s="135" t="s">
        <v>361</v>
      </c>
      <c r="D21" s="82" t="s">
        <v>362</v>
      </c>
      <c r="E21" s="195">
        <f>E19-E20</f>
        <v>0</v>
      </c>
      <c r="F21" s="78" t="s">
        <v>287</v>
      </c>
    </row>
    <row r="22" spans="2:6" ht="15.75" customHeight="1">
      <c r="B22"/>
      <c r="C22" s="86"/>
    </row>
    <row r="23" spans="2:6">
      <c r="B23" s="465" t="s">
        <v>363</v>
      </c>
      <c r="C23" s="465"/>
      <c r="D23" s="465"/>
      <c r="E23" s="465"/>
      <c r="F23" s="465"/>
    </row>
    <row r="24" spans="2:6">
      <c r="B24" s="466">
        <v>10</v>
      </c>
      <c r="C24" s="464" t="s">
        <v>364</v>
      </c>
      <c r="D24" s="83" t="s">
        <v>365</v>
      </c>
      <c r="E24" s="121"/>
      <c r="F24" s="76" t="s">
        <v>287</v>
      </c>
    </row>
    <row r="25" spans="2:6">
      <c r="B25" s="466"/>
      <c r="C25" s="464"/>
      <c r="D25" s="83" t="s">
        <v>366</v>
      </c>
      <c r="E25" s="121"/>
      <c r="F25" s="76" t="s">
        <v>287</v>
      </c>
    </row>
    <row r="26" spans="2:6" ht="15.75">
      <c r="B26" s="466"/>
      <c r="C26" s="464"/>
      <c r="D26" s="83" t="s">
        <v>367</v>
      </c>
      <c r="E26" s="121"/>
      <c r="F26" s="76" t="s">
        <v>348</v>
      </c>
    </row>
    <row r="27" spans="2:6" ht="15.75">
      <c r="B27" s="130">
        <v>11</v>
      </c>
      <c r="C27" s="135" t="s">
        <v>368</v>
      </c>
      <c r="D27" s="83" t="s">
        <v>369</v>
      </c>
      <c r="E27" s="136"/>
      <c r="F27" s="76" t="s">
        <v>287</v>
      </c>
    </row>
    <row r="28" spans="2:6" ht="25.5">
      <c r="B28" s="130">
        <v>12</v>
      </c>
      <c r="C28" s="135" t="s">
        <v>370</v>
      </c>
      <c r="D28" s="83" t="s">
        <v>371</v>
      </c>
      <c r="E28" s="134"/>
      <c r="F28" s="76" t="s">
        <v>141</v>
      </c>
    </row>
    <row r="29" spans="2:6" ht="15.75">
      <c r="B29" s="130">
        <v>13</v>
      </c>
      <c r="C29" s="135" t="s">
        <v>372</v>
      </c>
      <c r="D29" s="83" t="s">
        <v>373</v>
      </c>
      <c r="E29" s="136"/>
      <c r="F29" s="76" t="s">
        <v>287</v>
      </c>
    </row>
    <row r="30" spans="2:6" ht="25.5">
      <c r="B30" s="130">
        <v>14</v>
      </c>
      <c r="C30" s="135" t="s">
        <v>374</v>
      </c>
      <c r="D30" s="83" t="s">
        <v>375</v>
      </c>
      <c r="E30" s="134"/>
      <c r="F30" s="76" t="s">
        <v>287</v>
      </c>
    </row>
    <row r="31" spans="2:6" ht="31.5" customHeight="1">
      <c r="B31" s="130">
        <v>15</v>
      </c>
      <c r="C31" s="135" t="s">
        <v>376</v>
      </c>
      <c r="D31" s="83" t="s">
        <v>377</v>
      </c>
      <c r="E31" s="121"/>
      <c r="F31" s="76" t="s">
        <v>339</v>
      </c>
    </row>
    <row r="32" spans="2:6" ht="31.5">
      <c r="B32" s="130">
        <v>16</v>
      </c>
      <c r="C32" s="135" t="s">
        <v>378</v>
      </c>
      <c r="D32" s="83" t="s">
        <v>379</v>
      </c>
      <c r="E32" s="185">
        <f>E26*((E27*E28)+(E29*E30))</f>
        <v>0</v>
      </c>
      <c r="F32" s="76" t="s">
        <v>339</v>
      </c>
    </row>
    <row r="33" spans="2:6">
      <c r="B33"/>
      <c r="C33" s="86"/>
    </row>
    <row r="34" spans="2:6">
      <c r="B34" s="465" t="s">
        <v>380</v>
      </c>
      <c r="C34" s="465"/>
      <c r="D34" s="465"/>
      <c r="E34" s="465"/>
      <c r="F34" s="465"/>
    </row>
    <row r="35" spans="2:6" ht="15.75">
      <c r="B35" s="130">
        <v>17</v>
      </c>
      <c r="C35" s="135" t="s">
        <v>381</v>
      </c>
      <c r="D35" s="83" t="s">
        <v>350</v>
      </c>
      <c r="E35" s="185">
        <f>E13</f>
        <v>0</v>
      </c>
      <c r="F35" s="76" t="s">
        <v>339</v>
      </c>
    </row>
    <row r="36" spans="2:6" ht="15.75">
      <c r="B36" s="130">
        <v>18</v>
      </c>
      <c r="C36" s="135" t="s">
        <v>382</v>
      </c>
      <c r="D36" s="83" t="s">
        <v>383</v>
      </c>
      <c r="E36" s="185">
        <f>E32+E31</f>
        <v>0</v>
      </c>
      <c r="F36" s="76" t="s">
        <v>339</v>
      </c>
    </row>
    <row r="37" spans="2:6" ht="15.75">
      <c r="B37" s="130">
        <v>19</v>
      </c>
      <c r="C37" s="135" t="s">
        <v>384</v>
      </c>
      <c r="D37" s="83" t="s">
        <v>385</v>
      </c>
      <c r="E37" s="185">
        <f>MIN(E35:E36)</f>
        <v>0</v>
      </c>
      <c r="F37" s="76" t="s">
        <v>339</v>
      </c>
    </row>
  </sheetData>
  <mergeCells count="8">
    <mergeCell ref="C24:C26"/>
    <mergeCell ref="B34:F34"/>
    <mergeCell ref="B24:B26"/>
    <mergeCell ref="B10:F10"/>
    <mergeCell ref="B23:F23"/>
    <mergeCell ref="B17:F17"/>
    <mergeCell ref="D14:F14"/>
    <mergeCell ref="D15:F15"/>
  </mergeCells>
  <phoneticPr fontId="0" type="noConversion"/>
  <pageMargins left="0.75" right="0.75" top="1" bottom="1" header="0.5" footer="0.5"/>
  <pageSetup scale="90" orientation="portrait" r:id="rId1"/>
  <headerFooter alignWithMargins="0">
    <oddFooter>&amp;L&amp;8City of Chicago
Dept. of Water Management&amp;C&amp;8Permit Application
Bioinfiltration Worksheet&amp;R&amp;8&amp;A
Page &amp;P</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Hey and Associates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Wickenkamp</dc:creator>
  <cp:keywords/>
  <dc:description/>
  <cp:lastModifiedBy/>
  <cp:revision/>
  <dcterms:created xsi:type="dcterms:W3CDTF">2003-11-04T13:36:28Z</dcterms:created>
  <dcterms:modified xsi:type="dcterms:W3CDTF">2024-07-30T20:18:37Z</dcterms:modified>
  <cp:category/>
  <cp:contentStatus/>
</cp:coreProperties>
</file>